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35" windowHeight="6495" firstSheet="8" activeTab="11"/>
  </bookViews>
  <sheets>
    <sheet name="Estructura de Inversión" sheetId="1" r:id="rId1"/>
    <sheet name="costo de prod unit." sheetId="2" r:id="rId2"/>
    <sheet name="DEMANDA" sheetId="3" r:id="rId3"/>
    <sheet name="Nivel Demanda" sheetId="4" r:id="rId4"/>
    <sheet name="Definicion Precio Unitario" sheetId="5" r:id="rId5"/>
    <sheet name="IPV" sheetId="6" r:id="rId6"/>
    <sheet name="Sueldos y Cargas Sociales" sheetId="7" r:id="rId7"/>
    <sheet name="Depreciaciones" sheetId="8" r:id="rId8"/>
    <sheet name="Reinversiones" sheetId="9" r:id="rId9"/>
    <sheet name="Amortización Crédito" sheetId="10" r:id="rId10"/>
    <sheet name="Flujo Egresos anuales" sheetId="11" r:id="rId11"/>
    <sheet name="FLUJO DE CAJA" sheetId="12" r:id="rId12"/>
  </sheets>
  <externalReferences>
    <externalReference r:id="rId15"/>
  </externalReferences>
  <definedNames/>
  <calcPr fullCalcOnLoad="1"/>
</workbook>
</file>

<file path=xl/sharedStrings.xml><?xml version="1.0" encoding="utf-8"?>
<sst xmlns="http://schemas.openxmlformats.org/spreadsheetml/2006/main" count="493" uniqueCount="376">
  <si>
    <t>INGRESO NETO</t>
  </si>
  <si>
    <t>DEPRECIACION</t>
  </si>
  <si>
    <t>REINVERSION</t>
  </si>
  <si>
    <t>VALOR RESIDUAL</t>
  </si>
  <si>
    <t>TIR %</t>
  </si>
  <si>
    <t>TOTAL</t>
  </si>
  <si>
    <t>semillas</t>
  </si>
  <si>
    <t>valor (U$S)</t>
  </si>
  <si>
    <t>Depreciación anual (U$S)</t>
  </si>
  <si>
    <t>Valor residual a 8 anos (U$S)</t>
  </si>
  <si>
    <t>Radier</t>
  </si>
  <si>
    <t>Estructura Madera</t>
  </si>
  <si>
    <t>20 Almacigueras</t>
  </si>
  <si>
    <t>Estructura Contenedores</t>
  </si>
  <si>
    <t>Red de riego</t>
  </si>
  <si>
    <t>Red de Drenaje</t>
  </si>
  <si>
    <t>Sistema de calefacción</t>
  </si>
  <si>
    <t>fosa</t>
  </si>
  <si>
    <t>camioneta</t>
  </si>
  <si>
    <t>Sistema de Electricidad</t>
  </si>
  <si>
    <t>bodega</t>
  </si>
  <si>
    <t>Depreciacion Anual y Valor residual</t>
  </si>
  <si>
    <t xml:space="preserve">COSTOS DE PRODUCCIÓN  </t>
  </si>
  <si>
    <t>Superficie :</t>
  </si>
  <si>
    <t>Zona :</t>
  </si>
  <si>
    <t>Rio Cuarto</t>
  </si>
  <si>
    <t>Precio del dólar</t>
  </si>
  <si>
    <t>3.95</t>
  </si>
  <si>
    <t>Unidad :</t>
  </si>
  <si>
    <t>Dólares</t>
  </si>
  <si>
    <t>1.</t>
  </si>
  <si>
    <t>COSTOS DIRECTOS</t>
  </si>
  <si>
    <t>%</t>
  </si>
  <si>
    <t>1.1</t>
  </si>
  <si>
    <t>FIJOS</t>
  </si>
  <si>
    <t>1.1.1</t>
  </si>
  <si>
    <t>Productos insumidos</t>
  </si>
  <si>
    <t>1.1,2</t>
  </si>
  <si>
    <t>Maquinaria</t>
  </si>
  <si>
    <t>CONTADOR</t>
  </si>
  <si>
    <t>VARIABLES</t>
  </si>
  <si>
    <t>2.</t>
  </si>
  <si>
    <t>COSTOS INDIRECTOS</t>
  </si>
  <si>
    <t>SUBTOTAL INDIRECTOS</t>
  </si>
  <si>
    <t>COSTO TOTAL</t>
  </si>
  <si>
    <t>2.2</t>
  </si>
  <si>
    <t>SUBTOTAL DIRECTOS</t>
  </si>
  <si>
    <t>AÑOS</t>
  </si>
  <si>
    <t>CUOTA</t>
  </si>
  <si>
    <t>INTERES</t>
  </si>
  <si>
    <t>AMORTIZACION</t>
  </si>
  <si>
    <t>SALDO</t>
  </si>
  <si>
    <t>PRESTAMO</t>
  </si>
  <si>
    <t>INTERESES</t>
  </si>
  <si>
    <t>SUPERMERCADO</t>
  </si>
  <si>
    <t>DISCO (JUMBO)</t>
  </si>
  <si>
    <t>CARREFOUR</t>
  </si>
  <si>
    <t>WALL MART</t>
  </si>
  <si>
    <t>VEA</t>
  </si>
  <si>
    <t>POBLACION</t>
  </si>
  <si>
    <t>Tasa de crecimiento poblacional</t>
  </si>
  <si>
    <t>Localidad</t>
  </si>
  <si>
    <t>Ciudad de Rio Cuarto</t>
  </si>
  <si>
    <t>Total Departamento de Rio Cuarto</t>
  </si>
  <si>
    <t>Tipo de Producto</t>
  </si>
  <si>
    <t>Scrab en kilos**</t>
  </si>
  <si>
    <t>Estimacion Departamento Juarez Celman*</t>
  </si>
  <si>
    <t>Ciudad cabecera La Carlota</t>
  </si>
  <si>
    <t>Total Departamento Juarez Celman</t>
  </si>
  <si>
    <t>*Datos extraídos Censo Indec 2001 en</t>
  </si>
  <si>
    <t>http://web2.cba.gov.ar/actual_web/estadisticas/informes_departnuevos/juarezcelman/demografia/localidades.htm</t>
  </si>
  <si>
    <t>http://es.wikipedia.org</t>
  </si>
  <si>
    <t>Ciudad cabecera San Agustin</t>
  </si>
  <si>
    <t>Total Departamento Calamuchita</t>
  </si>
  <si>
    <t xml:space="preserve">**Datos extraídos Censo Indec 2001 en </t>
  </si>
  <si>
    <t>http://web2.cba.gov.ar/actual_web/estadisticas/informes_departnuevos/calamuchita/demografia/poblaciontotal.htm</t>
  </si>
  <si>
    <t>Ciudad cabecera Rio Tercero</t>
  </si>
  <si>
    <t>Total Departamento Tercero Arriba</t>
  </si>
  <si>
    <t xml:space="preserve">***Datos extraídos Censo Indec 2005 en </t>
  </si>
  <si>
    <t>http://web2.cba.gov.ar/actual_web/estadisticas/informes_departnuevos/terceroarriba/Demograf%C3%ADa/poblaci%C3%B3n_total.htm</t>
  </si>
  <si>
    <t>Estimacion Demanda Total</t>
  </si>
  <si>
    <t>Tasa promedio de crecimiento poblacional</t>
  </si>
  <si>
    <t>Ciudad cabeceras</t>
  </si>
  <si>
    <t>Total Departamentos</t>
  </si>
  <si>
    <t>Estimacion de demanda para el Departamento Rio Cuarto</t>
  </si>
  <si>
    <r>
      <t>Estimacion Departamento Calamuchita</t>
    </r>
    <r>
      <rPr>
        <b/>
        <sz val="11"/>
        <rFont val="Arial"/>
        <family val="2"/>
      </rPr>
      <t>**</t>
    </r>
  </si>
  <si>
    <r>
      <t>Estimacion Departamento Tercero Arriba</t>
    </r>
    <r>
      <rPr>
        <b/>
        <sz val="11"/>
        <rFont val="Arial"/>
        <family val="2"/>
      </rPr>
      <t>***</t>
    </r>
  </si>
  <si>
    <t>Consumo nacional p/persona p/año en Kg</t>
  </si>
  <si>
    <t>Consumo de Lechuga por año</t>
  </si>
  <si>
    <t>** Se estima un 10% sobre total de la produccion</t>
  </si>
  <si>
    <t>PRODUCTO</t>
  </si>
  <si>
    <t>Período: 2011</t>
  </si>
  <si>
    <t>Precio Neto</t>
  </si>
  <si>
    <t>Precio Bruto</t>
  </si>
  <si>
    <t>IVA</t>
  </si>
  <si>
    <t>Mg Utilidad</t>
  </si>
  <si>
    <t>Precio Final</t>
  </si>
  <si>
    <t>Restaurantes</t>
  </si>
  <si>
    <t>Tipo de Cliente</t>
  </si>
  <si>
    <t>Volumen de compra*</t>
  </si>
  <si>
    <t>% Partic. Canasta clientes</t>
  </si>
  <si>
    <t>Total</t>
  </si>
  <si>
    <t xml:space="preserve">Precio Final de Ref: </t>
  </si>
  <si>
    <t>Supermercados</t>
  </si>
  <si>
    <t>Tiendas especializadas</t>
  </si>
  <si>
    <t>Ferias Locales</t>
  </si>
  <si>
    <t>Nivel de demanda: Venta con intermediarios y por Contratos Fijos Primer Año Departamento Rio Cuarto</t>
  </si>
  <si>
    <t>B) Scrab</t>
  </si>
  <si>
    <t>Produccion total anual</t>
  </si>
  <si>
    <t>Datos:</t>
  </si>
  <si>
    <t>Porcentaje de desecho de produccion</t>
  </si>
  <si>
    <t>Produccion comercial total</t>
  </si>
  <si>
    <t>Volumen produccion Producto A1</t>
  </si>
  <si>
    <t>A1</t>
  </si>
  <si>
    <t>B</t>
  </si>
  <si>
    <t>Volumen produccion Prodcuto B1-Scrab</t>
  </si>
  <si>
    <t>Codigo</t>
  </si>
  <si>
    <t>Total Ingresos anual x ventas</t>
  </si>
  <si>
    <t>Estrategia de Diferenciacion</t>
  </si>
  <si>
    <t>FLETE</t>
  </si>
  <si>
    <t>Expresado en U$S</t>
  </si>
  <si>
    <t>*Expresados de kilos de Lechuga</t>
  </si>
  <si>
    <t>% MERCADO</t>
  </si>
  <si>
    <t>OTROS</t>
  </si>
  <si>
    <t>PROYECCION DE DEMANDA  POTENCIAL  PARA SUPERMERCADOS AÑO 1</t>
  </si>
  <si>
    <t>VENTAS DIARIAS*</t>
  </si>
  <si>
    <t>Resumen</t>
  </si>
  <si>
    <t>Estadísticas de la regresión</t>
  </si>
  <si>
    <t>Coeficiente de correlación múltiple</t>
  </si>
  <si>
    <t>Coeficiente de determinación R^2</t>
  </si>
  <si>
    <t>R^2  ajustado</t>
  </si>
  <si>
    <t>Error típico</t>
  </si>
  <si>
    <t>Observaciones</t>
  </si>
  <si>
    <t>ANÁLISIS DE VARIANZA</t>
  </si>
  <si>
    <t>Regresión</t>
  </si>
  <si>
    <t>Residuos</t>
  </si>
  <si>
    <t>Intercepción</t>
  </si>
  <si>
    <t>Grados de libertad</t>
  </si>
  <si>
    <t>Suma de cuadrados</t>
  </si>
  <si>
    <t>Promedio de los cuadrados</t>
  </si>
  <si>
    <t>F</t>
  </si>
  <si>
    <t>Valor crítico de F</t>
  </si>
  <si>
    <t>Coeficientes</t>
  </si>
  <si>
    <t>Estadístico t</t>
  </si>
  <si>
    <t>Probabilidad</t>
  </si>
  <si>
    <t>Inferior 95%</t>
  </si>
  <si>
    <t>Superior 95%</t>
  </si>
  <si>
    <t>Inferior 95,0%</t>
  </si>
  <si>
    <t>Superior 95,0%</t>
  </si>
  <si>
    <t>Variable X 1</t>
  </si>
  <si>
    <t>* Expresado en Kg de lechuga</t>
  </si>
  <si>
    <t>Volumen Ingresos**</t>
  </si>
  <si>
    <t>** Expresado en U$S</t>
  </si>
  <si>
    <t>plantas</t>
  </si>
  <si>
    <t xml:space="preserve">Bolsa Individual </t>
  </si>
  <si>
    <t>Caja madera/plastico 25 plantas</t>
  </si>
  <si>
    <t>Precio Planta Individual</t>
  </si>
  <si>
    <t>Balde plastico 50 plantas</t>
  </si>
  <si>
    <t>A) Verdura Fresca</t>
  </si>
  <si>
    <t>Ingresos por venta - Periodo 2011 / 2018</t>
  </si>
  <si>
    <t>Definición Precio unitarios U$S</t>
  </si>
  <si>
    <t>Scrab Balde Plastico de 50 plantas</t>
  </si>
  <si>
    <t>Vida Util (años)</t>
  </si>
  <si>
    <t>Cargo</t>
  </si>
  <si>
    <t>Cant.</t>
  </si>
  <si>
    <t>Cargas Sociales</t>
  </si>
  <si>
    <t>Sueldo Total</t>
  </si>
  <si>
    <t>Secretaria Administrativa</t>
  </si>
  <si>
    <t>Personal de Limpieza</t>
  </si>
  <si>
    <t>Personal de Seguridad/Cuidador</t>
  </si>
  <si>
    <t>Encargado de Prod. de Semillas</t>
  </si>
  <si>
    <t>Jornaleros de Cultivos</t>
  </si>
  <si>
    <t>Personal de selección y embalaje</t>
  </si>
  <si>
    <t>Totales</t>
  </si>
  <si>
    <t>Estructura Costos</t>
  </si>
  <si>
    <t>Costos Fijos</t>
  </si>
  <si>
    <t>Impuestos a la propiedad provincial - DGR</t>
  </si>
  <si>
    <t>Publicidad</t>
  </si>
  <si>
    <t>Internet</t>
  </si>
  <si>
    <t>Telefonia (fijo+celular)</t>
  </si>
  <si>
    <t>Luz</t>
  </si>
  <si>
    <t>Agua (mantenimiento sistema de riego)</t>
  </si>
  <si>
    <t>Gas (por garrafa)</t>
  </si>
  <si>
    <t>Combustible (promedio anual)</t>
  </si>
  <si>
    <t>Honorarios estudio contable</t>
  </si>
  <si>
    <t>Sueldos</t>
  </si>
  <si>
    <t>Seguro Colectivo de trabajo</t>
  </si>
  <si>
    <t>Seguros Vehiculos</t>
  </si>
  <si>
    <t>Costos Variables</t>
  </si>
  <si>
    <t>Comercio e Industria municipales</t>
  </si>
  <si>
    <t>Contribucion Sindicato/Gremio Fruti-horticola</t>
  </si>
  <si>
    <t>Envases y embalajes</t>
  </si>
  <si>
    <t>Gastos de Organización</t>
  </si>
  <si>
    <t>Subtotal Costos Fijos</t>
  </si>
  <si>
    <t>DETALLE ESTRUCTURA DE INVERSION "HIDROPONICOS DEL SUR"</t>
  </si>
  <si>
    <t>Inversiones</t>
  </si>
  <si>
    <t>Cantidad</t>
  </si>
  <si>
    <t>Medida</t>
  </si>
  <si>
    <t>Precio Unitario Neto</t>
  </si>
  <si>
    <t>Activos fijos</t>
  </si>
  <si>
    <t>Rodados</t>
  </si>
  <si>
    <t>Unid.</t>
  </si>
  <si>
    <t>Muebles Oficina</t>
  </si>
  <si>
    <t>Utiles (Herramientas varias)</t>
  </si>
  <si>
    <t>Instalacion de Invernadero</t>
  </si>
  <si>
    <t>Sub Total Activos Fijos</t>
  </si>
  <si>
    <t>Capital de Trabajo</t>
  </si>
  <si>
    <t>Sub Total Capital de Trabajo</t>
  </si>
  <si>
    <t>No tradicionales:</t>
  </si>
  <si>
    <t xml:space="preserve">2-Diseño de sistemas informáticos  </t>
  </si>
  <si>
    <t xml:space="preserve">y procedimientos administrativos </t>
  </si>
  <si>
    <t>de gestión y apoyo</t>
  </si>
  <si>
    <t>Sistema</t>
  </si>
  <si>
    <t>Patentes y Licencias</t>
  </si>
  <si>
    <t>3-Gastos legales para constitución</t>
  </si>
  <si>
    <t xml:space="preserve"> jurídica de la sociedad y otros</t>
  </si>
  <si>
    <t>honorarios</t>
  </si>
  <si>
    <t>4-Patentes</t>
  </si>
  <si>
    <t>5-Autorizaciones notariales</t>
  </si>
  <si>
    <t xml:space="preserve">timbrados </t>
  </si>
  <si>
    <t>Gastos de Puesta en Marcha</t>
  </si>
  <si>
    <t>6-Remuneraciones puesta en marcha</t>
  </si>
  <si>
    <t>7-Promociones</t>
  </si>
  <si>
    <t>Sub Total Inv.no tradicionales</t>
  </si>
  <si>
    <t>Total Inversiones</t>
  </si>
  <si>
    <t>U$S por mes</t>
  </si>
  <si>
    <t>Precio Total U$S</t>
  </si>
  <si>
    <t>Sistema de Drenaje</t>
  </si>
  <si>
    <t>Sistema de Calefacción</t>
  </si>
  <si>
    <t>Bodega y Baño</t>
  </si>
  <si>
    <t>Fosa</t>
  </si>
  <si>
    <t>IMPUESTO A LAS GANANCIAS</t>
  </si>
  <si>
    <t>SALDO ACTUAL</t>
  </si>
  <si>
    <t>SALDO ACTUAL ACUMULADO</t>
  </si>
  <si>
    <t>INDICADORES</t>
  </si>
  <si>
    <t xml:space="preserve">FLUJO DE CAJA </t>
  </si>
  <si>
    <t>Pulverizador</t>
  </si>
  <si>
    <t>Motoazada</t>
  </si>
  <si>
    <t xml:space="preserve">Contenedores </t>
  </si>
  <si>
    <t>Almacigueras</t>
  </si>
  <si>
    <t>Conduccion de agua</t>
  </si>
  <si>
    <t>Recirculacion de agua</t>
  </si>
  <si>
    <t>Sistema Electrico</t>
  </si>
  <si>
    <t>Instalacion de Luz en parte del campo</t>
  </si>
  <si>
    <t>Estiercol</t>
  </si>
  <si>
    <t>Abono mineral</t>
  </si>
  <si>
    <t>Pesticidas</t>
  </si>
  <si>
    <t>Sustrato</t>
  </si>
  <si>
    <t>Equipo de riego por goteo</t>
  </si>
  <si>
    <t>Turba</t>
  </si>
  <si>
    <t>Combustible</t>
  </si>
  <si>
    <t>lts</t>
  </si>
  <si>
    <t>kw/h</t>
  </si>
  <si>
    <t>1- Mano de Obra Instalación</t>
  </si>
  <si>
    <t>Solución Nutritiva</t>
  </si>
  <si>
    <t>m3</t>
  </si>
  <si>
    <t>Cajas</t>
  </si>
  <si>
    <t>Bolsas</t>
  </si>
  <si>
    <t>Rendimiento por m2</t>
  </si>
  <si>
    <t>Superficie real de trabajo</t>
  </si>
  <si>
    <t>Producción diaria esperada</t>
  </si>
  <si>
    <t>m2</t>
  </si>
  <si>
    <t>Kg</t>
  </si>
  <si>
    <t>Producción diaria esperada en Kg</t>
  </si>
  <si>
    <t>Rendimiento en  Kg por m2</t>
  </si>
  <si>
    <t>Peso por Planta</t>
  </si>
  <si>
    <t>Grs</t>
  </si>
  <si>
    <t>Longevidad de la semilla</t>
  </si>
  <si>
    <t>años</t>
  </si>
  <si>
    <t>SEGURIDAD SOCIAL</t>
  </si>
  <si>
    <t>SEGURO AUTOMOTOR</t>
  </si>
  <si>
    <t>SEGURO COLECTIVO DE TRABAJO</t>
  </si>
  <si>
    <t>SUELDOS Y CARGAS SOCIALES</t>
  </si>
  <si>
    <t>SUELDOS</t>
  </si>
  <si>
    <t>U$S</t>
  </si>
  <si>
    <t>cantidad</t>
  </si>
  <si>
    <t>TELÉFONO CELULAR</t>
  </si>
  <si>
    <t>Depreciacion mensual (U$S)</t>
  </si>
  <si>
    <t>Los presupuestos fueron otorgados por Kg y por Km.</t>
  </si>
  <si>
    <t>Para este cálculo se toma por Kg en base a un promedio de los siguientes transportes:</t>
  </si>
  <si>
    <t>Reparto por kilo de lechuga</t>
  </si>
  <si>
    <t>Precio Neto (U$S)</t>
  </si>
  <si>
    <t>Flete por Kg</t>
  </si>
  <si>
    <t>Producto por Kg</t>
  </si>
  <si>
    <t>Precio Mercado Mayorista (U$S)</t>
  </si>
  <si>
    <t>Precio Final*</t>
  </si>
  <si>
    <t>* Precio FOB. El cliente debe agregarle el precio de flete</t>
  </si>
  <si>
    <t>Plantas</t>
  </si>
  <si>
    <t>Volumen Comercial total en Kg</t>
  </si>
  <si>
    <t>Transporte Panella</t>
  </si>
  <si>
    <t>Transporte Refrigerado - Godoy Cruz y Unión de los Argentinos 351 (5800) Río Cuarto, Córdoba - Teléfono: (54) (0358) 462-4339</t>
  </si>
  <si>
    <t>Transporte Valdevit</t>
  </si>
  <si>
    <t>Transporte refrigerado - Juan B Justo 6904 - Cordoba</t>
  </si>
  <si>
    <t>Contrib. Sindicato/Gremio</t>
  </si>
  <si>
    <t>Caja madera/plastico 25 plantas (0,223 grs cada planta aprox)</t>
  </si>
  <si>
    <t>Sueldo Básico</t>
  </si>
  <si>
    <t>Encar. de Compras y Logística</t>
  </si>
  <si>
    <t>Encargado de Producción</t>
  </si>
  <si>
    <t>El Impuesto a la Propiedad Provincial fue calculado del último Impuesto anual pagado en el 2010, para 110 Has, $2577.80.</t>
  </si>
  <si>
    <t>Materia Prima e Insumos</t>
  </si>
  <si>
    <t>Sustrato (m3)</t>
  </si>
  <si>
    <t>Solución Nutritiva (lts)</t>
  </si>
  <si>
    <t>Estiercol (Unid)</t>
  </si>
  <si>
    <t>semillas (unid)</t>
  </si>
  <si>
    <t>Abono mineral (unid)</t>
  </si>
  <si>
    <t>Pesticidas (lts)</t>
  </si>
  <si>
    <t>Turba (unid)</t>
  </si>
  <si>
    <t>Combustible (lts)</t>
  </si>
  <si>
    <t>Luz (kw/h)</t>
  </si>
  <si>
    <t>Cajas (unid)</t>
  </si>
  <si>
    <t>Bolsas (unid)</t>
  </si>
  <si>
    <t>1.1,4</t>
  </si>
  <si>
    <t>Impuestos</t>
  </si>
  <si>
    <t>Contribucion Sindicato/Gremio Fruti-horticola (1,5%)</t>
  </si>
  <si>
    <t>Ingresos Brutos (3%)</t>
  </si>
  <si>
    <t>Subtotal Costos Variables</t>
  </si>
  <si>
    <t>TOTAL COSTOS</t>
  </si>
  <si>
    <t>CERTIFICACION Buenas Practicas Agricolas</t>
  </si>
  <si>
    <t>CERTIFICACION BUENAS PRACTICAS AGRICOLAS</t>
  </si>
  <si>
    <t>COSTO UNITARIO POR PLANTA</t>
  </si>
  <si>
    <t>SUPUESTO DE INFLACION ANUAL</t>
  </si>
  <si>
    <t>Comercio e Industria municipales (0,6%)</t>
  </si>
  <si>
    <t>Ingresos por Ventas de Productos</t>
  </si>
  <si>
    <t>Ingresos por Ventas de Scrab</t>
  </si>
  <si>
    <t>TOTAL INGRESOS POR VENTAS</t>
  </si>
  <si>
    <t>INGRESOS</t>
  </si>
  <si>
    <t>EGRESOS</t>
  </si>
  <si>
    <t>Luz (depende de la estación y de la prod)</t>
  </si>
  <si>
    <t>Agua (depende de la estacion y la intensidad del riego)</t>
  </si>
  <si>
    <t>TOTAL EGRESOS</t>
  </si>
  <si>
    <t>TOTAL EGRESOS FIJOS</t>
  </si>
  <si>
    <t>TOTAL EGRESOS VARIABLES</t>
  </si>
  <si>
    <t>IMPUESTO A LA PROPIEDAD PROVINCIAL - DGR-</t>
  </si>
  <si>
    <t>Cantidad de cajones Producto A1</t>
  </si>
  <si>
    <t>Cajones</t>
  </si>
  <si>
    <t>Cantidad de baldes de Plastico Producto B1-Scrab</t>
  </si>
  <si>
    <t>Baldes</t>
  </si>
  <si>
    <t xml:space="preserve">Combustible </t>
  </si>
  <si>
    <t>Agua (manutencion Bomba)</t>
  </si>
  <si>
    <t>Lts</t>
  </si>
  <si>
    <t>VAN  15% U$S</t>
  </si>
  <si>
    <t>TASA</t>
  </si>
  <si>
    <t>RESULTADO ANTES DE IMPUESTO A LAS GANANCIAS</t>
  </si>
  <si>
    <t>IMP COMERCIO E INDUSTRIA MUNICIPAL</t>
  </si>
  <si>
    <t>Reinversiones</t>
  </si>
  <si>
    <t>Conducción de agua</t>
  </si>
  <si>
    <t>Recirculación de agua</t>
  </si>
  <si>
    <t>Sistema Eléctrico</t>
  </si>
  <si>
    <t>Instalación de Luz en parte del campo</t>
  </si>
  <si>
    <t>Útiles (Herramientas varias)</t>
  </si>
  <si>
    <t>Instalación de Invernadero</t>
  </si>
  <si>
    <t>INVERSION EN ACTIVOS FIJOS</t>
  </si>
  <si>
    <t>INVERSION EN CAPITAL DE TRABAJO</t>
  </si>
  <si>
    <t>INVERSIONES NO TRADICIONALES</t>
  </si>
  <si>
    <t>APORTE DE CAPITAL PROPIO</t>
  </si>
  <si>
    <t>año 1</t>
  </si>
  <si>
    <t>año 2</t>
  </si>
  <si>
    <t>año 3</t>
  </si>
  <si>
    <t>año 4</t>
  </si>
  <si>
    <t>año 5</t>
  </si>
  <si>
    <t>año 6</t>
  </si>
  <si>
    <t>año 7</t>
  </si>
  <si>
    <t>año 8</t>
  </si>
  <si>
    <t>Sist. De extraccion de agua</t>
  </si>
  <si>
    <t> RESUMEN TOTAL DE INVERSIONES</t>
  </si>
  <si>
    <t>costo total (U$S)</t>
  </si>
  <si>
    <t>Activos Fijos</t>
  </si>
  <si>
    <t>Inversiones No tradicionales</t>
  </si>
  <si>
    <t>Total costos de Inversión</t>
  </si>
  <si>
    <t>INGRESO BRUTO</t>
  </si>
  <si>
    <t>CREDITO A TASA SUBSIDIADA DEL 9.9% ANNUAL EN PESOS</t>
  </si>
  <si>
    <t>SALDO EN $</t>
  </si>
  <si>
    <t>SALDO EN U$S</t>
  </si>
  <si>
    <t>Sist. De Camara de Enfriamiento</t>
  </si>
  <si>
    <t>Sist. De Refrigeracion</t>
  </si>
  <si>
    <t>Los interes en U$S se calcularon con una tasa del 2,5% anual en U$S, este 2,5% surge  de hacer 10%/4 que es el tipo de cambio actual.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</si>
</sst>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
    <numFmt numFmtId="173" formatCode="0.00_ ;\-0.00\ "/>
    <numFmt numFmtId="174" formatCode="&quot;Sí&quot;;&quot;Sí&quot;;&quot;No&quot;"/>
    <numFmt numFmtId="175" formatCode="&quot;Verdadero&quot;;&quot;Verdadero&quot;;&quot;Falso&quot;"/>
    <numFmt numFmtId="176" formatCode="&quot;Activado&quot;;&quot;Activado&quot;;&quot;Desactivado&quot;"/>
    <numFmt numFmtId="177" formatCode="#,##0.00\ _€"/>
    <numFmt numFmtId="178" formatCode="[$€-2]\ #,##0.00_);[Red]\([$€-2]\ #,##0.00\)"/>
    <numFmt numFmtId="179" formatCode="#,##0.0"/>
    <numFmt numFmtId="180" formatCode="#,##0.000"/>
    <numFmt numFmtId="181" formatCode="[$-C0A]dddd\,\ dd&quot; de &quot;mmmm&quot; de &quot;yyyy"/>
    <numFmt numFmtId="182" formatCode="0.000"/>
    <numFmt numFmtId="183" formatCode="0.0"/>
    <numFmt numFmtId="184" formatCode="[$$-2C0A]\ #,##0.00"/>
    <numFmt numFmtId="185" formatCode="0.000000"/>
    <numFmt numFmtId="186" formatCode="0.00000"/>
    <numFmt numFmtId="187" formatCode="0.0000"/>
    <numFmt numFmtId="188" formatCode="#,##0.00\ &quot;€&quot;"/>
    <numFmt numFmtId="189" formatCode="[$-40A]dddd\,\ dd&quot; de &quot;mmmm&quot; de &quot;yyyy"/>
    <numFmt numFmtId="190" formatCode="[$$-409]#,##0.00"/>
    <numFmt numFmtId="191" formatCode="[$$-409]#,##0.00_ ;[Red]\-[$$-409]#,##0.00\ "/>
    <numFmt numFmtId="192" formatCode="#,##0\ [$USD]"/>
    <numFmt numFmtId="193" formatCode="#,##0.00\ [$USD]"/>
  </numFmts>
  <fonts count="45">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sz val="10"/>
      <color indexed="10"/>
      <name val="Arial"/>
      <family val="0"/>
    </font>
    <font>
      <sz val="14"/>
      <name val="Arial"/>
      <family val="2"/>
    </font>
    <font>
      <b/>
      <sz val="12"/>
      <name val="Arial"/>
      <family val="2"/>
    </font>
    <font>
      <b/>
      <sz val="14"/>
      <name val="Arial"/>
      <family val="2"/>
    </font>
    <font>
      <sz val="12"/>
      <name val="Arial"/>
      <family val="2"/>
    </font>
    <font>
      <sz val="9"/>
      <name val="Arial"/>
      <family val="2"/>
    </font>
    <font>
      <u val="single"/>
      <sz val="10"/>
      <name val="Arial"/>
      <family val="2"/>
    </font>
    <font>
      <b/>
      <u val="single"/>
      <sz val="11"/>
      <name val="Arial"/>
      <family val="2"/>
    </font>
    <font>
      <i/>
      <sz val="12"/>
      <color indexed="10"/>
      <name val="Arial"/>
      <family val="2"/>
    </font>
    <font>
      <b/>
      <u val="single"/>
      <sz val="12"/>
      <name val="Arial"/>
      <family val="2"/>
    </font>
    <font>
      <b/>
      <sz val="11"/>
      <name val="Arial"/>
      <family val="2"/>
    </font>
    <font>
      <b/>
      <sz val="8"/>
      <color indexed="13"/>
      <name val="Arial"/>
      <family val="2"/>
    </font>
    <font>
      <b/>
      <sz val="9"/>
      <color indexed="13"/>
      <name val="Arial"/>
      <family val="2"/>
    </font>
    <font>
      <b/>
      <sz val="10"/>
      <color indexed="13"/>
      <name val="Arial"/>
      <family val="2"/>
    </font>
    <font>
      <sz val="11"/>
      <name val="Arial"/>
      <family val="2"/>
    </font>
    <font>
      <sz val="10"/>
      <color indexed="13"/>
      <name val="Arial"/>
      <family val="0"/>
    </font>
    <font>
      <b/>
      <sz val="14"/>
      <color indexed="13"/>
      <name val="Arial"/>
      <family val="2"/>
    </font>
    <font>
      <sz val="8.25"/>
      <name val="Arial"/>
      <family val="0"/>
    </font>
    <font>
      <i/>
      <sz val="10"/>
      <name val="Arial"/>
      <family val="0"/>
    </font>
    <font>
      <b/>
      <i/>
      <sz val="10"/>
      <color indexed="13"/>
      <name val="Arial"/>
      <family val="2"/>
    </font>
    <font>
      <b/>
      <i/>
      <sz val="11"/>
      <color indexed="13"/>
      <name val="Arial"/>
      <family val="2"/>
    </font>
    <font>
      <b/>
      <u val="single"/>
      <sz val="10"/>
      <name val="Arial"/>
      <family val="2"/>
    </font>
    <font>
      <b/>
      <sz val="10"/>
      <color indexed="10"/>
      <name val="Arial"/>
      <family val="2"/>
    </font>
    <font>
      <sz val="16"/>
      <color indexed="13"/>
      <name val="Arial"/>
      <family val="0"/>
    </font>
    <font>
      <b/>
      <i/>
      <u val="single"/>
      <sz val="16"/>
      <color indexed="13"/>
      <name val="Arial"/>
      <family val="0"/>
    </font>
    <font>
      <b/>
      <sz val="10"/>
      <color indexed="62"/>
      <name val="Arial"/>
      <family val="2"/>
    </font>
    <font>
      <b/>
      <sz val="16"/>
      <color indexed="13"/>
      <name val="Arial"/>
      <family val="2"/>
    </font>
    <font>
      <i/>
      <sz val="10"/>
      <color indexed="13"/>
      <name val="Arial"/>
      <family val="2"/>
    </font>
    <font>
      <b/>
      <sz val="12"/>
      <color indexed="13"/>
      <name val="Arial"/>
      <family val="2"/>
    </font>
    <font>
      <b/>
      <sz val="11.5"/>
      <color indexed="22"/>
      <name val="Arial"/>
      <family val="2"/>
    </font>
    <font>
      <sz val="8"/>
      <color indexed="13"/>
      <name val="Arial"/>
      <family val="2"/>
    </font>
    <font>
      <sz val="10"/>
      <color indexed="23"/>
      <name val="Arial"/>
      <family val="2"/>
    </font>
    <font>
      <b/>
      <sz val="8"/>
      <color indexed="55"/>
      <name val="Arial"/>
      <family val="2"/>
    </font>
    <font>
      <b/>
      <sz val="10"/>
      <color indexed="55"/>
      <name val="Arial"/>
      <family val="2"/>
    </font>
    <font>
      <sz val="10"/>
      <color indexed="55"/>
      <name val="Arial"/>
      <family val="2"/>
    </font>
    <font>
      <b/>
      <sz val="10"/>
      <color indexed="23"/>
      <name val="Arial"/>
      <family val="2"/>
    </font>
    <font>
      <b/>
      <sz val="8"/>
      <color indexed="10"/>
      <name val="Arial"/>
      <family val="2"/>
    </font>
    <font>
      <b/>
      <sz val="11"/>
      <color indexed="13"/>
      <name val="Arial"/>
      <family val="2"/>
    </font>
    <font>
      <b/>
      <sz val="8.5"/>
      <color indexed="55"/>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34">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0" fillId="0" borderId="0" xfId="0" applyAlignment="1">
      <alignment horizontal="center"/>
    </xf>
    <xf numFmtId="0" fontId="0" fillId="0" borderId="1" xfId="0" applyBorder="1" applyAlignment="1">
      <alignment/>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2" fillId="2" borderId="0" xfId="0" applyFont="1" applyFill="1" applyBorder="1" applyAlignment="1">
      <alignment/>
    </xf>
    <xf numFmtId="0" fontId="0" fillId="2" borderId="0" xfId="0" applyFill="1" applyBorder="1" applyAlignment="1">
      <alignment/>
    </xf>
    <xf numFmtId="0" fontId="0" fillId="0" borderId="4" xfId="0" applyBorder="1" applyAlignment="1">
      <alignment/>
    </xf>
    <xf numFmtId="0" fontId="0" fillId="0" borderId="1" xfId="0" applyFill="1" applyBorder="1" applyAlignment="1">
      <alignment/>
    </xf>
    <xf numFmtId="0" fontId="1" fillId="0" borderId="0" xfId="0" applyFont="1" applyAlignment="1">
      <alignment/>
    </xf>
    <xf numFmtId="2" fontId="0" fillId="0" borderId="1" xfId="0" applyNumberFormat="1" applyBorder="1" applyAlignment="1">
      <alignment/>
    </xf>
    <xf numFmtId="0" fontId="0" fillId="2" borderId="0" xfId="0" applyFill="1" applyBorder="1" applyAlignment="1">
      <alignment horizontal="center"/>
    </xf>
    <xf numFmtId="0" fontId="0" fillId="0" borderId="0" xfId="0" applyFont="1" applyAlignment="1">
      <alignment/>
    </xf>
    <xf numFmtId="0" fontId="0" fillId="0" borderId="0" xfId="0" applyFont="1" applyAlignment="1">
      <alignment/>
    </xf>
    <xf numFmtId="1" fontId="0" fillId="0" borderId="1" xfId="0" applyNumberFormat="1" applyBorder="1" applyAlignment="1">
      <alignment/>
    </xf>
    <xf numFmtId="0" fontId="6" fillId="0" borderId="0" xfId="0" applyFont="1" applyAlignment="1">
      <alignment/>
    </xf>
    <xf numFmtId="0" fontId="7" fillId="2" borderId="0" xfId="0" applyFont="1" applyFill="1" applyAlignment="1" applyProtection="1">
      <alignment/>
      <protection hidden="1"/>
    </xf>
    <xf numFmtId="0" fontId="0" fillId="2" borderId="0" xfId="0" applyFill="1" applyAlignment="1" applyProtection="1">
      <alignment/>
      <protection hidden="1"/>
    </xf>
    <xf numFmtId="0" fontId="0" fillId="2" borderId="0" xfId="0" applyFill="1" applyAlignment="1">
      <alignment/>
    </xf>
    <xf numFmtId="0" fontId="9" fillId="2" borderId="0" xfId="0" applyFont="1" applyFill="1" applyAlignment="1" applyProtection="1">
      <alignment/>
      <protection hidden="1"/>
    </xf>
    <xf numFmtId="0" fontId="1" fillId="2" borderId="0" xfId="0" applyFont="1" applyFill="1" applyAlignment="1" applyProtection="1">
      <alignment/>
      <protection hidden="1"/>
    </xf>
    <xf numFmtId="0" fontId="10" fillId="2" borderId="0" xfId="0" applyFont="1" applyFill="1" applyAlignment="1" applyProtection="1" quotePrefix="1">
      <alignment horizontal="right"/>
      <protection hidden="1"/>
    </xf>
    <xf numFmtId="0" fontId="0" fillId="2" borderId="0" xfId="0" applyFill="1" applyAlignment="1" applyProtection="1">
      <alignment horizontal="right"/>
      <protection hidden="1"/>
    </xf>
    <xf numFmtId="0" fontId="0" fillId="2" borderId="0" xfId="0" applyFill="1" applyBorder="1" applyAlignment="1" applyProtection="1">
      <alignment/>
      <protection hidden="1"/>
    </xf>
    <xf numFmtId="0" fontId="9" fillId="2" borderId="5" xfId="0" applyFont="1" applyFill="1" applyBorder="1" applyAlignment="1" applyProtection="1">
      <alignment/>
      <protection hidden="1"/>
    </xf>
    <xf numFmtId="0" fontId="1" fillId="2" borderId="0" xfId="0" applyFont="1" applyFill="1" applyBorder="1" applyAlignment="1" applyProtection="1">
      <alignment/>
      <protection hidden="1"/>
    </xf>
    <xf numFmtId="2" fontId="0" fillId="2" borderId="6" xfId="0" applyNumberFormat="1" applyFill="1" applyBorder="1" applyAlignment="1" applyProtection="1">
      <alignment/>
      <protection hidden="1"/>
    </xf>
    <xf numFmtId="2" fontId="0" fillId="2" borderId="7" xfId="0" applyNumberFormat="1" applyFill="1" applyBorder="1" applyAlignment="1" applyProtection="1">
      <alignment/>
      <protection hidden="1"/>
    </xf>
    <xf numFmtId="0" fontId="11" fillId="2" borderId="6" xfId="0" applyFont="1" applyFill="1" applyBorder="1" applyAlignment="1">
      <alignment horizontal="left"/>
    </xf>
    <xf numFmtId="10" fontId="1" fillId="2" borderId="7" xfId="21" applyNumberFormat="1" applyFont="1" applyFill="1" applyBorder="1" applyAlignment="1" applyProtection="1">
      <alignment/>
      <protection hidden="1"/>
    </xf>
    <xf numFmtId="0" fontId="1" fillId="2" borderId="0" xfId="0" applyFont="1" applyFill="1" applyBorder="1" applyAlignment="1" applyProtection="1">
      <alignment horizontal="left"/>
      <protection hidden="1"/>
    </xf>
    <xf numFmtId="0" fontId="0" fillId="2" borderId="0" xfId="0" applyFont="1" applyFill="1" applyBorder="1" applyAlignment="1" applyProtection="1">
      <alignment horizontal="left"/>
      <protection hidden="1"/>
    </xf>
    <xf numFmtId="2" fontId="0" fillId="2" borderId="7" xfId="0" applyNumberFormat="1" applyFont="1" applyFill="1" applyBorder="1" applyAlignment="1" applyProtection="1">
      <alignment/>
      <protection hidden="1"/>
    </xf>
    <xf numFmtId="177" fontId="0" fillId="0" borderId="0" xfId="0" applyNumberFormat="1" applyFont="1" applyAlignment="1">
      <alignment/>
    </xf>
    <xf numFmtId="177" fontId="0" fillId="0" borderId="0" xfId="0" applyNumberFormat="1" applyFont="1" applyAlignment="1">
      <alignment/>
    </xf>
    <xf numFmtId="0" fontId="1" fillId="0" borderId="1" xfId="0" applyNumberFormat="1" applyFont="1" applyBorder="1" applyAlignment="1">
      <alignment horizontal="center"/>
    </xf>
    <xf numFmtId="0" fontId="6" fillId="2" borderId="0" xfId="0" applyFont="1" applyFill="1" applyBorder="1" applyAlignment="1">
      <alignment/>
    </xf>
    <xf numFmtId="0" fontId="10" fillId="0" borderId="0" xfId="0" applyFont="1" applyBorder="1" applyAlignment="1">
      <alignment horizontal="justify"/>
    </xf>
    <xf numFmtId="0" fontId="1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12" fillId="0" borderId="0" xfId="15" applyFont="1" applyFill="1" applyBorder="1" applyAlignment="1">
      <alignment/>
    </xf>
    <xf numFmtId="0" fontId="2" fillId="0" borderId="1" xfId="0" applyFont="1" applyBorder="1" applyAlignment="1">
      <alignment/>
    </xf>
    <xf numFmtId="0" fontId="0" fillId="0" borderId="0" xfId="0" applyFont="1" applyFill="1" applyBorder="1" applyAlignment="1">
      <alignment/>
    </xf>
    <xf numFmtId="0" fontId="0" fillId="0" borderId="0" xfId="0" applyFont="1" applyAlignment="1">
      <alignment/>
    </xf>
    <xf numFmtId="0" fontId="12" fillId="0" borderId="0" xfId="15" applyFont="1" applyFill="1" applyBorder="1" applyAlignment="1">
      <alignment/>
    </xf>
    <xf numFmtId="0" fontId="0" fillId="0" borderId="0" xfId="15" applyFont="1" applyFill="1" applyBorder="1" applyAlignment="1">
      <alignment/>
    </xf>
    <xf numFmtId="0" fontId="10" fillId="0" borderId="0" xfId="0" applyFont="1" applyAlignment="1">
      <alignment/>
    </xf>
    <xf numFmtId="0" fontId="13" fillId="0" borderId="0" xfId="0" applyFont="1" applyAlignment="1">
      <alignment/>
    </xf>
    <xf numFmtId="10" fontId="11" fillId="0" borderId="0" xfId="0" applyNumberFormat="1" applyFont="1" applyAlignment="1">
      <alignment/>
    </xf>
    <xf numFmtId="0" fontId="2" fillId="0" borderId="0" xfId="0" applyFont="1" applyAlignment="1">
      <alignment/>
    </xf>
    <xf numFmtId="4" fontId="11" fillId="0" borderId="0" xfId="0" applyNumberFormat="1" applyFont="1" applyAlignment="1">
      <alignment/>
    </xf>
    <xf numFmtId="0" fontId="0" fillId="0" borderId="0" xfId="0" applyFont="1" applyAlignment="1">
      <alignment horizontal="center"/>
    </xf>
    <xf numFmtId="4" fontId="11" fillId="0" borderId="8" xfId="0" applyNumberFormat="1" applyFont="1" applyBorder="1" applyAlignment="1">
      <alignment/>
    </xf>
    <xf numFmtId="4" fontId="11" fillId="0" borderId="1" xfId="0" applyNumberFormat="1" applyFont="1" applyBorder="1" applyAlignment="1">
      <alignment/>
    </xf>
    <xf numFmtId="0" fontId="11" fillId="0" borderId="0" xfId="0" applyNumberFormat="1" applyFont="1" applyAlignment="1">
      <alignment/>
    </xf>
    <xf numFmtId="0" fontId="2" fillId="0" borderId="7"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2" fontId="0" fillId="0" borderId="0" xfId="0" applyNumberFormat="1" applyFont="1" applyBorder="1" applyAlignment="1">
      <alignment/>
    </xf>
    <xf numFmtId="0" fontId="15" fillId="0" borderId="0" xfId="0" applyFont="1" applyAlignment="1">
      <alignment/>
    </xf>
    <xf numFmtId="2" fontId="10" fillId="0" borderId="0" xfId="0" applyNumberFormat="1" applyFont="1" applyBorder="1" applyAlignment="1">
      <alignment/>
    </xf>
    <xf numFmtId="0" fontId="0" fillId="0" borderId="1" xfId="0" applyFont="1" applyBorder="1" applyAlignment="1">
      <alignment horizontal="center"/>
    </xf>
    <xf numFmtId="0" fontId="6" fillId="0" borderId="0" xfId="0" applyFont="1" applyAlignment="1">
      <alignment/>
    </xf>
    <xf numFmtId="184" fontId="0" fillId="0" borderId="0" xfId="0" applyNumberFormat="1" applyAlignment="1">
      <alignment/>
    </xf>
    <xf numFmtId="9" fontId="0" fillId="0" borderId="1" xfId="0" applyNumberFormat="1" applyBorder="1" applyAlignment="1">
      <alignment horizontal="center"/>
    </xf>
    <xf numFmtId="184" fontId="0" fillId="0" borderId="1" xfId="0" applyNumberFormat="1" applyBorder="1" applyAlignment="1">
      <alignment horizontal="center"/>
    </xf>
    <xf numFmtId="184" fontId="1" fillId="0" borderId="0" xfId="0" applyNumberFormat="1" applyFont="1" applyAlignment="1">
      <alignment/>
    </xf>
    <xf numFmtId="9" fontId="0" fillId="0" borderId="1" xfId="0" applyNumberFormat="1" applyFont="1" applyBorder="1" applyAlignment="1">
      <alignment horizontal="center"/>
    </xf>
    <xf numFmtId="3" fontId="0" fillId="0" borderId="1" xfId="0" applyNumberFormat="1" applyFont="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0" fontId="0" fillId="0" borderId="3" xfId="0" applyFill="1" applyBorder="1" applyAlignment="1">
      <alignment/>
    </xf>
    <xf numFmtId="0" fontId="0" fillId="0" borderId="0" xfId="0" applyFont="1" applyBorder="1" applyAlignment="1">
      <alignment horizontal="center"/>
    </xf>
    <xf numFmtId="0" fontId="19" fillId="0" borderId="0" xfId="0" applyFont="1" applyFill="1" applyBorder="1" applyAlignment="1">
      <alignment horizontal="center"/>
    </xf>
    <xf numFmtId="4" fontId="0" fillId="0" borderId="0" xfId="0" applyNumberFormat="1" applyFont="1" applyFill="1" applyBorder="1" applyAlignment="1">
      <alignment horizontal="center"/>
    </xf>
    <xf numFmtId="4" fontId="0" fillId="0" borderId="1" xfId="0" applyNumberFormat="1" applyBorder="1" applyAlignment="1">
      <alignment horizontal="center"/>
    </xf>
    <xf numFmtId="2" fontId="0" fillId="0" borderId="0" xfId="0" applyNumberFormat="1" applyAlignment="1">
      <alignment/>
    </xf>
    <xf numFmtId="184" fontId="20" fillId="0" borderId="1" xfId="0" applyNumberFormat="1" applyFont="1" applyFill="1" applyBorder="1" applyAlignment="1">
      <alignment horizontal="center"/>
    </xf>
    <xf numFmtId="0" fontId="20" fillId="0" borderId="0" xfId="0" applyFont="1" applyFill="1" applyBorder="1" applyAlignment="1">
      <alignment/>
    </xf>
    <xf numFmtId="0" fontId="20" fillId="0" borderId="0" xfId="0" applyFont="1" applyFill="1" applyBorder="1" applyAlignment="1">
      <alignment horizontal="right"/>
    </xf>
    <xf numFmtId="184" fontId="20" fillId="0" borderId="0" xfId="0" applyNumberFormat="1" applyFont="1" applyFill="1" applyBorder="1" applyAlignment="1">
      <alignment/>
    </xf>
    <xf numFmtId="0" fontId="20" fillId="0" borderId="0" xfId="0" applyFont="1" applyFill="1" applyBorder="1" applyAlignment="1">
      <alignment horizontal="center"/>
    </xf>
    <xf numFmtId="0" fontId="16" fillId="0" borderId="1" xfId="0" applyFont="1" applyFill="1" applyBorder="1" applyAlignment="1">
      <alignment horizontal="center"/>
    </xf>
    <xf numFmtId="0" fontId="20" fillId="0" borderId="1" xfId="0" applyFont="1" applyFill="1" applyBorder="1" applyAlignment="1">
      <alignment/>
    </xf>
    <xf numFmtId="0" fontId="0" fillId="0" borderId="1" xfId="0" applyFont="1" applyFill="1" applyBorder="1" applyAlignment="1">
      <alignment/>
    </xf>
    <xf numFmtId="0" fontId="16" fillId="0" borderId="0" xfId="0" applyFont="1" applyFill="1" applyBorder="1" applyAlignment="1">
      <alignment/>
    </xf>
    <xf numFmtId="0" fontId="0" fillId="0" borderId="0" xfId="0" applyFont="1" applyAlignment="1">
      <alignment horizontal="left"/>
    </xf>
    <xf numFmtId="0" fontId="27" fillId="0" borderId="0" xfId="0" applyFont="1" applyAlignment="1">
      <alignment/>
    </xf>
    <xf numFmtId="0" fontId="1" fillId="0" borderId="1" xfId="0" applyFont="1" applyBorder="1" applyAlignment="1">
      <alignment/>
    </xf>
    <xf numFmtId="9" fontId="1" fillId="0" borderId="1" xfId="0" applyNumberFormat="1" applyFont="1" applyBorder="1" applyAlignment="1">
      <alignment/>
    </xf>
    <xf numFmtId="4" fontId="0" fillId="0" borderId="0" xfId="0" applyNumberFormat="1" applyFont="1" applyAlignment="1">
      <alignment/>
    </xf>
    <xf numFmtId="0" fontId="1" fillId="0" borderId="1" xfId="0" applyFont="1" applyBorder="1" applyAlignment="1">
      <alignment horizontal="right"/>
    </xf>
    <xf numFmtId="0" fontId="0" fillId="0" borderId="1" xfId="0" applyFont="1" applyBorder="1" applyAlignment="1">
      <alignment/>
    </xf>
    <xf numFmtId="184" fontId="0" fillId="0" borderId="1" xfId="0" applyNumberFormat="1" applyFont="1" applyBorder="1" applyAlignment="1">
      <alignment/>
    </xf>
    <xf numFmtId="0" fontId="24" fillId="0" borderId="1" xfId="0" applyFont="1" applyBorder="1" applyAlignment="1">
      <alignment/>
    </xf>
    <xf numFmtId="184" fontId="0" fillId="0" borderId="1" xfId="0" applyNumberFormat="1" applyBorder="1" applyAlignment="1">
      <alignment/>
    </xf>
    <xf numFmtId="0" fontId="28" fillId="0" borderId="0" xfId="0" applyFont="1" applyAlignment="1">
      <alignment/>
    </xf>
    <xf numFmtId="0" fontId="0" fillId="0" borderId="7" xfId="0" applyFill="1" applyBorder="1" applyAlignment="1">
      <alignment/>
    </xf>
    <xf numFmtId="0" fontId="31" fillId="0" borderId="0" xfId="0" applyFont="1" applyAlignment="1">
      <alignment/>
    </xf>
    <xf numFmtId="0" fontId="0" fillId="0" borderId="1" xfId="0" applyBorder="1" applyAlignment="1">
      <alignment horizontal="center"/>
    </xf>
    <xf numFmtId="0" fontId="1" fillId="0" borderId="1" xfId="0" applyFont="1" applyFill="1" applyBorder="1" applyAlignment="1">
      <alignment horizontal="right"/>
    </xf>
    <xf numFmtId="0" fontId="1" fillId="0" borderId="1" xfId="0" applyFont="1" applyBorder="1" applyAlignment="1">
      <alignment horizontal="left"/>
    </xf>
    <xf numFmtId="0" fontId="0" fillId="0" borderId="9" xfId="0" applyBorder="1" applyAlignment="1">
      <alignment/>
    </xf>
    <xf numFmtId="0" fontId="0" fillId="0" borderId="9" xfId="0" applyBorder="1" applyAlignment="1">
      <alignment horizontal="center"/>
    </xf>
    <xf numFmtId="184" fontId="0" fillId="0" borderId="9" xfId="0" applyNumberFormat="1" applyBorder="1" applyAlignment="1">
      <alignment/>
    </xf>
    <xf numFmtId="0" fontId="0" fillId="0" borderId="5" xfId="0" applyBorder="1" applyAlignment="1">
      <alignment/>
    </xf>
    <xf numFmtId="0" fontId="0" fillId="0" borderId="7" xfId="0" applyBorder="1" applyAlignment="1">
      <alignment/>
    </xf>
    <xf numFmtId="0" fontId="0" fillId="0" borderId="7" xfId="0" applyBorder="1" applyAlignment="1">
      <alignment horizontal="center"/>
    </xf>
    <xf numFmtId="184" fontId="0" fillId="0" borderId="7" xfId="0" applyNumberFormat="1" applyBorder="1" applyAlignment="1">
      <alignment/>
    </xf>
    <xf numFmtId="0" fontId="0" fillId="0" borderId="2" xfId="0" applyBorder="1" applyAlignment="1">
      <alignment horizontal="center"/>
    </xf>
    <xf numFmtId="184" fontId="0" fillId="0" borderId="2" xfId="0" applyNumberFormat="1" applyBorder="1" applyAlignment="1">
      <alignment/>
    </xf>
    <xf numFmtId="0" fontId="0" fillId="0" borderId="6" xfId="0" applyBorder="1" applyAlignment="1">
      <alignment/>
    </xf>
    <xf numFmtId="0" fontId="0" fillId="0" borderId="6" xfId="0" applyBorder="1" applyAlignment="1">
      <alignment horizontal="center"/>
    </xf>
    <xf numFmtId="184" fontId="0" fillId="0" borderId="6" xfId="0" applyNumberFormat="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Border="1" applyAlignment="1">
      <alignment horizontal="center"/>
    </xf>
    <xf numFmtId="184" fontId="0" fillId="0" borderId="10" xfId="0" applyNumberFormat="1" applyBorder="1" applyAlignment="1">
      <alignment/>
    </xf>
    <xf numFmtId="0" fontId="0" fillId="0" borderId="11" xfId="0" applyBorder="1" applyAlignment="1">
      <alignment/>
    </xf>
    <xf numFmtId="0" fontId="0" fillId="0" borderId="11" xfId="0" applyBorder="1" applyAlignment="1">
      <alignment horizontal="center"/>
    </xf>
    <xf numFmtId="18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0" fontId="0" fillId="0" borderId="2" xfId="0" applyFont="1" applyBorder="1" applyAlignment="1">
      <alignment/>
    </xf>
    <xf numFmtId="0" fontId="1" fillId="0" borderId="2" xfId="0" applyFont="1" applyBorder="1" applyAlignment="1">
      <alignment horizontal="left"/>
    </xf>
    <xf numFmtId="2" fontId="0" fillId="0" borderId="1" xfId="0" applyNumberFormat="1" applyFill="1" applyBorder="1" applyAlignment="1">
      <alignment/>
    </xf>
    <xf numFmtId="2" fontId="28" fillId="0" borderId="1" xfId="0" applyNumberFormat="1" applyFont="1" applyFill="1" applyBorder="1" applyAlignment="1">
      <alignment horizontal="center"/>
    </xf>
    <xf numFmtId="0" fontId="0" fillId="3" borderId="0" xfId="0" applyFill="1" applyAlignment="1">
      <alignment/>
    </xf>
    <xf numFmtId="0" fontId="1" fillId="3" borderId="0" xfId="0" applyFont="1" applyFill="1" applyAlignment="1">
      <alignment/>
    </xf>
    <xf numFmtId="0" fontId="21" fillId="3" borderId="1" xfId="0" applyFont="1" applyFill="1" applyBorder="1" applyAlignment="1">
      <alignment/>
    </xf>
    <xf numFmtId="0" fontId="1" fillId="3" borderId="1" xfId="0" applyFont="1" applyFill="1" applyBorder="1" applyAlignment="1">
      <alignment/>
    </xf>
    <xf numFmtId="0" fontId="8" fillId="3" borderId="0" xfId="0" applyFont="1" applyFill="1" applyAlignment="1" applyProtection="1">
      <alignment horizontal="left"/>
      <protection hidden="1"/>
    </xf>
    <xf numFmtId="0" fontId="0" fillId="3" borderId="0" xfId="0" applyFill="1" applyAlignment="1" applyProtection="1">
      <alignment/>
      <protection hidden="1"/>
    </xf>
    <xf numFmtId="0" fontId="22" fillId="3" borderId="10" xfId="0" applyFont="1" applyFill="1" applyBorder="1" applyAlignment="1" applyProtection="1" quotePrefix="1">
      <alignment horizontal="left"/>
      <protection hidden="1"/>
    </xf>
    <xf numFmtId="0" fontId="22" fillId="3" borderId="13" xfId="0" applyFont="1" applyFill="1" applyBorder="1" applyAlignment="1" applyProtection="1">
      <alignment/>
      <protection hidden="1"/>
    </xf>
    <xf numFmtId="0" fontId="21" fillId="3" borderId="13" xfId="0" applyFont="1" applyFill="1" applyBorder="1" applyAlignment="1" applyProtection="1">
      <alignment/>
      <protection hidden="1"/>
    </xf>
    <xf numFmtId="0" fontId="21" fillId="3" borderId="9" xfId="0" applyFont="1" applyFill="1" applyBorder="1" applyAlignment="1" applyProtection="1">
      <alignment/>
      <protection hidden="1"/>
    </xf>
    <xf numFmtId="0" fontId="9" fillId="3" borderId="14" xfId="0" applyFont="1" applyFill="1" applyBorder="1" applyAlignment="1" applyProtection="1">
      <alignment/>
      <protection hidden="1"/>
    </xf>
    <xf numFmtId="0" fontId="1" fillId="3" borderId="15" xfId="0" applyFont="1" applyFill="1" applyBorder="1" applyAlignment="1" applyProtection="1">
      <alignment/>
      <protection hidden="1"/>
    </xf>
    <xf numFmtId="2" fontId="1" fillId="3" borderId="1" xfId="0" applyNumberFormat="1" applyFont="1" applyFill="1" applyBorder="1" applyAlignment="1" applyProtection="1">
      <alignment/>
      <protection hidden="1"/>
    </xf>
    <xf numFmtId="10" fontId="1" fillId="3" borderId="1" xfId="21" applyNumberFormat="1" applyFont="1" applyFill="1" applyBorder="1" applyAlignment="1" applyProtection="1">
      <alignment/>
      <protection hidden="1"/>
    </xf>
    <xf numFmtId="0" fontId="9" fillId="3" borderId="16" xfId="0" applyFont="1" applyFill="1" applyBorder="1" applyAlignment="1" applyProtection="1">
      <alignment/>
      <protection hidden="1"/>
    </xf>
    <xf numFmtId="0" fontId="1" fillId="3" borderId="17" xfId="0" applyFont="1" applyFill="1" applyBorder="1" applyAlignment="1" applyProtection="1">
      <alignment/>
      <protection hidden="1"/>
    </xf>
    <xf numFmtId="0" fontId="1" fillId="3" borderId="17" xfId="0" applyFont="1" applyFill="1" applyBorder="1" applyAlignment="1" applyProtection="1" quotePrefix="1">
      <alignment horizontal="left"/>
      <protection hidden="1"/>
    </xf>
    <xf numFmtId="0" fontId="22" fillId="3" borderId="11" xfId="0" applyFont="1" applyFill="1" applyBorder="1" applyAlignment="1" applyProtection="1" quotePrefix="1">
      <alignment horizontal="left"/>
      <protection hidden="1"/>
    </xf>
    <xf numFmtId="0" fontId="22" fillId="3" borderId="18" xfId="0" applyFont="1" applyFill="1" applyBorder="1" applyAlignment="1" applyProtection="1">
      <alignment/>
      <protection hidden="1"/>
    </xf>
    <xf numFmtId="2" fontId="19" fillId="3" borderId="7" xfId="0" applyNumberFormat="1" applyFont="1" applyFill="1" applyBorder="1" applyAlignment="1" applyProtection="1">
      <alignment/>
      <protection hidden="1"/>
    </xf>
    <xf numFmtId="10" fontId="19" fillId="3" borderId="7" xfId="21" applyNumberFormat="1" applyFont="1" applyFill="1" applyBorder="1" applyAlignment="1" applyProtection="1">
      <alignment/>
      <protection hidden="1"/>
    </xf>
    <xf numFmtId="0" fontId="22" fillId="3" borderId="1" xfId="0" applyFont="1" applyFill="1" applyBorder="1" applyAlignment="1" applyProtection="1">
      <alignment/>
      <protection hidden="1"/>
    </xf>
    <xf numFmtId="0" fontId="0" fillId="3" borderId="18" xfId="0" applyFill="1" applyBorder="1" applyAlignment="1" applyProtection="1">
      <alignment/>
      <protection hidden="1"/>
    </xf>
    <xf numFmtId="2" fontId="8" fillId="3" borderId="2" xfId="0" applyNumberFormat="1" applyFont="1" applyFill="1" applyBorder="1" applyAlignment="1" applyProtection="1">
      <alignment/>
      <protection hidden="1"/>
    </xf>
    <xf numFmtId="10" fontId="8" fillId="3" borderId="2" xfId="21" applyNumberFormat="1" applyFont="1" applyFill="1" applyBorder="1" applyAlignment="1" applyProtection="1">
      <alignment/>
      <protection hidden="1"/>
    </xf>
    <xf numFmtId="0" fontId="32" fillId="3" borderId="0" xfId="0" applyFont="1" applyFill="1" applyAlignment="1">
      <alignment/>
    </xf>
    <xf numFmtId="0" fontId="29" fillId="3" borderId="0" xfId="0" applyFont="1" applyFill="1" applyAlignment="1">
      <alignment/>
    </xf>
    <xf numFmtId="0" fontId="31" fillId="3" borderId="0" xfId="0" applyFont="1" applyFill="1" applyAlignment="1">
      <alignment/>
    </xf>
    <xf numFmtId="0" fontId="19" fillId="3" borderId="1" xfId="0" applyFont="1" applyFill="1" applyBorder="1" applyAlignment="1">
      <alignment horizontal="center"/>
    </xf>
    <xf numFmtId="0" fontId="25" fillId="3" borderId="1" xfId="0" applyFont="1" applyFill="1" applyBorder="1" applyAlignment="1">
      <alignment horizontal="right"/>
    </xf>
    <xf numFmtId="0" fontId="33" fillId="3" borderId="1" xfId="0" applyFont="1" applyFill="1" applyBorder="1" applyAlignment="1">
      <alignment horizontal="right"/>
    </xf>
    <xf numFmtId="184" fontId="33" fillId="3" borderId="1" xfId="0" applyNumberFormat="1" applyFont="1" applyFill="1" applyBorder="1" applyAlignment="1">
      <alignment horizontal="right"/>
    </xf>
    <xf numFmtId="184" fontId="25" fillId="3" borderId="1" xfId="0" applyNumberFormat="1" applyFont="1" applyFill="1" applyBorder="1" applyAlignment="1">
      <alignment horizontal="right"/>
    </xf>
    <xf numFmtId="0" fontId="21" fillId="3" borderId="1" xfId="0" applyFont="1" applyFill="1" applyBorder="1" applyAlignment="1">
      <alignment/>
    </xf>
    <xf numFmtId="0" fontId="21" fillId="3" borderId="1" xfId="0" applyFont="1" applyFill="1" applyBorder="1" applyAlignment="1">
      <alignment horizontal="center"/>
    </xf>
    <xf numFmtId="184" fontId="21" fillId="3" borderId="1" xfId="0" applyNumberFormat="1" applyFont="1" applyFill="1" applyBorder="1" applyAlignment="1">
      <alignment/>
    </xf>
    <xf numFmtId="184" fontId="19" fillId="3" borderId="1" xfId="0" applyNumberFormat="1" applyFont="1" applyFill="1" applyBorder="1" applyAlignment="1">
      <alignment/>
    </xf>
    <xf numFmtId="0" fontId="19" fillId="3" borderId="1" xfId="0" applyFont="1" applyFill="1" applyBorder="1" applyAlignment="1">
      <alignment/>
    </xf>
    <xf numFmtId="0" fontId="13" fillId="3" borderId="0" xfId="0" applyFont="1" applyFill="1" applyAlignment="1">
      <alignment/>
    </xf>
    <xf numFmtId="0" fontId="13" fillId="3" borderId="0" xfId="0" applyFont="1" applyFill="1" applyAlignment="1">
      <alignment/>
    </xf>
    <xf numFmtId="0" fontId="10" fillId="3" borderId="0" xfId="0" applyFont="1" applyFill="1" applyAlignment="1">
      <alignment/>
    </xf>
    <xf numFmtId="0" fontId="15" fillId="3" borderId="0" xfId="0" applyFont="1" applyFill="1" applyAlignment="1">
      <alignment/>
    </xf>
    <xf numFmtId="0" fontId="17" fillId="3" borderId="1" xfId="0" applyFont="1" applyFill="1" applyBorder="1" applyAlignment="1">
      <alignment/>
    </xf>
    <xf numFmtId="0" fontId="18" fillId="3" borderId="1" xfId="0" applyNumberFormat="1" applyFont="1" applyFill="1" applyBorder="1" applyAlignment="1">
      <alignment horizontal="center"/>
    </xf>
    <xf numFmtId="0" fontId="18" fillId="3" borderId="1" xfId="0" applyNumberFormat="1" applyFont="1" applyFill="1" applyBorder="1" applyAlignment="1">
      <alignment/>
    </xf>
    <xf numFmtId="0" fontId="10" fillId="3" borderId="0" xfId="0" applyFont="1" applyFill="1" applyBorder="1" applyAlignment="1">
      <alignment/>
    </xf>
    <xf numFmtId="0" fontId="19" fillId="3" borderId="1" xfId="0" applyFont="1" applyFill="1" applyBorder="1" applyAlignment="1">
      <alignment/>
    </xf>
    <xf numFmtId="0" fontId="19" fillId="3" borderId="1" xfId="0" applyNumberFormat="1" applyFont="1" applyFill="1" applyBorder="1" applyAlignment="1">
      <alignment/>
    </xf>
    <xf numFmtId="0" fontId="3" fillId="3" borderId="7" xfId="0" applyFont="1" applyFill="1" applyBorder="1" applyAlignment="1">
      <alignment/>
    </xf>
    <xf numFmtId="4" fontId="1" fillId="3" borderId="1" xfId="0" applyNumberFormat="1" applyFont="1" applyFill="1" applyBorder="1" applyAlignment="1">
      <alignment/>
    </xf>
    <xf numFmtId="0" fontId="1" fillId="3" borderId="1" xfId="0" applyFont="1" applyFill="1" applyBorder="1" applyAlignment="1">
      <alignment/>
    </xf>
    <xf numFmtId="0" fontId="20" fillId="3" borderId="0" xfId="0" applyFont="1" applyFill="1" applyAlignment="1">
      <alignment/>
    </xf>
    <xf numFmtId="0" fontId="19" fillId="3" borderId="1" xfId="0" applyFont="1" applyFill="1" applyBorder="1" applyAlignment="1">
      <alignment horizontal="right"/>
    </xf>
    <xf numFmtId="9" fontId="19" fillId="3" borderId="1" xfId="0" applyNumberFormat="1" applyFont="1" applyFill="1" applyBorder="1" applyAlignment="1">
      <alignment horizontal="center"/>
    </xf>
    <xf numFmtId="4" fontId="19" fillId="3" borderId="1" xfId="0" applyNumberFormat="1" applyFont="1" applyFill="1" applyBorder="1" applyAlignment="1">
      <alignment horizontal="center"/>
    </xf>
    <xf numFmtId="184" fontId="19" fillId="3" borderId="1" xfId="0" applyNumberFormat="1" applyFont="1" applyFill="1" applyBorder="1" applyAlignment="1">
      <alignment horizontal="center"/>
    </xf>
    <xf numFmtId="0" fontId="1" fillId="3" borderId="0" xfId="0" applyFont="1" applyFill="1" applyAlignment="1">
      <alignment/>
    </xf>
    <xf numFmtId="0" fontId="1" fillId="0" borderId="0" xfId="0" applyFont="1" applyFill="1" applyAlignment="1">
      <alignment/>
    </xf>
    <xf numFmtId="0" fontId="19" fillId="3" borderId="0" xfId="0" applyFont="1" applyFill="1" applyAlignment="1">
      <alignment/>
    </xf>
    <xf numFmtId="0" fontId="25" fillId="3" borderId="4" xfId="0" applyFont="1" applyFill="1" applyBorder="1" applyAlignment="1">
      <alignment horizontal="centerContinuous"/>
    </xf>
    <xf numFmtId="0" fontId="24" fillId="3" borderId="4" xfId="0" applyFont="1" applyFill="1" applyBorder="1" applyAlignment="1">
      <alignment horizontal="center"/>
    </xf>
    <xf numFmtId="0" fontId="25" fillId="3" borderId="4" xfId="0" applyFont="1" applyFill="1" applyBorder="1" applyAlignment="1">
      <alignment horizontal="center"/>
    </xf>
    <xf numFmtId="0" fontId="16" fillId="3" borderId="0" xfId="0" applyFont="1" applyFill="1" applyBorder="1" applyAlignment="1">
      <alignment/>
    </xf>
    <xf numFmtId="0" fontId="26" fillId="3" borderId="1" xfId="0" applyFont="1" applyFill="1" applyBorder="1" applyAlignment="1">
      <alignment horizontal="center"/>
    </xf>
    <xf numFmtId="0" fontId="25" fillId="3" borderId="1" xfId="0" applyFont="1" applyFill="1" applyBorder="1" applyAlignment="1">
      <alignment horizontal="center"/>
    </xf>
    <xf numFmtId="1" fontId="19" fillId="3" borderId="1" xfId="0" applyNumberFormat="1" applyFont="1" applyFill="1" applyBorder="1" applyAlignment="1">
      <alignment/>
    </xf>
    <xf numFmtId="0" fontId="18" fillId="3" borderId="1" xfId="0" applyFont="1" applyFill="1" applyBorder="1" applyAlignment="1">
      <alignment/>
    </xf>
    <xf numFmtId="184" fontId="19" fillId="3" borderId="1" xfId="0" applyNumberFormat="1" applyFont="1" applyFill="1" applyBorder="1" applyAlignment="1">
      <alignment/>
    </xf>
    <xf numFmtId="177" fontId="1" fillId="3" borderId="0" xfId="0" applyNumberFormat="1" applyFont="1" applyFill="1" applyAlignment="1">
      <alignment/>
    </xf>
    <xf numFmtId="2" fontId="19" fillId="3" borderId="1" xfId="0" applyNumberFormat="1" applyFont="1" applyFill="1" applyBorder="1" applyAlignment="1">
      <alignment horizontal="center"/>
    </xf>
    <xf numFmtId="0" fontId="29" fillId="3" borderId="0" xfId="0" applyFont="1" applyFill="1" applyAlignment="1">
      <alignment/>
    </xf>
    <xf numFmtId="0" fontId="30" fillId="3" borderId="0" xfId="0" applyFont="1" applyFill="1" applyAlignment="1">
      <alignment horizontal="center"/>
    </xf>
    <xf numFmtId="2" fontId="19" fillId="3" borderId="1" xfId="0" applyNumberFormat="1" applyFont="1" applyFill="1" applyBorder="1" applyAlignment="1">
      <alignment horizontal="right"/>
    </xf>
    <xf numFmtId="0" fontId="19" fillId="3" borderId="1" xfId="0" applyNumberFormat="1" applyFont="1" applyFill="1" applyBorder="1" applyAlignment="1">
      <alignment horizontal="right"/>
    </xf>
    <xf numFmtId="0" fontId="17" fillId="3" borderId="9" xfId="0" applyFont="1" applyFill="1" applyBorder="1" applyAlignment="1">
      <alignment/>
    </xf>
    <xf numFmtId="0" fontId="19" fillId="4" borderId="1" xfId="0" applyFont="1" applyFill="1" applyBorder="1" applyAlignment="1">
      <alignment/>
    </xf>
    <xf numFmtId="0" fontId="19" fillId="2" borderId="0" xfId="0" applyFont="1" applyFill="1" applyBorder="1" applyAlignment="1">
      <alignment/>
    </xf>
    <xf numFmtId="0" fontId="17" fillId="2" borderId="15" xfId="0" applyFont="1" applyFill="1" applyBorder="1" applyAlignment="1">
      <alignment/>
    </xf>
    <xf numFmtId="0" fontId="36" fillId="3" borderId="2" xfId="0" applyFont="1" applyFill="1" applyBorder="1" applyAlignment="1">
      <alignment horizontal="center"/>
    </xf>
    <xf numFmtId="0" fontId="19" fillId="3" borderId="2" xfId="0" applyFont="1" applyFill="1" applyBorder="1" applyAlignment="1">
      <alignment horizontal="center"/>
    </xf>
    <xf numFmtId="0" fontId="21" fillId="3" borderId="19" xfId="0" applyFont="1" applyFill="1" applyBorder="1" applyAlignment="1">
      <alignment/>
    </xf>
    <xf numFmtId="0" fontId="21" fillId="3" borderId="20" xfId="0" applyFont="1" applyFill="1" applyBorder="1" applyAlignment="1">
      <alignment/>
    </xf>
    <xf numFmtId="0" fontId="36" fillId="3" borderId="21" xfId="0" applyFont="1" applyFill="1" applyBorder="1" applyAlignment="1">
      <alignment/>
    </xf>
    <xf numFmtId="0" fontId="21" fillId="3" borderId="3" xfId="0" applyFont="1" applyFill="1" applyBorder="1" applyAlignment="1">
      <alignment/>
    </xf>
    <xf numFmtId="0" fontId="21" fillId="3" borderId="22" xfId="0" applyFont="1" applyFill="1" applyBorder="1" applyAlignment="1">
      <alignment/>
    </xf>
    <xf numFmtId="0" fontId="2" fillId="2" borderId="0" xfId="0" applyFont="1" applyFill="1" applyAlignment="1">
      <alignment/>
    </xf>
    <xf numFmtId="4" fontId="0" fillId="0" borderId="1" xfId="0" applyNumberFormat="1" applyBorder="1" applyAlignment="1">
      <alignment/>
    </xf>
    <xf numFmtId="4" fontId="0" fillId="0" borderId="1" xfId="0" applyNumberFormat="1" applyBorder="1" applyAlignment="1">
      <alignment horizontal="right"/>
    </xf>
    <xf numFmtId="0" fontId="0" fillId="0" borderId="9" xfId="0" applyFont="1" applyBorder="1" applyAlignment="1">
      <alignment/>
    </xf>
    <xf numFmtId="4" fontId="0" fillId="0" borderId="9" xfId="0" applyNumberFormat="1" applyBorder="1" applyAlignment="1">
      <alignment horizontal="right"/>
    </xf>
    <xf numFmtId="4" fontId="0" fillId="0" borderId="2" xfId="0" applyNumberFormat="1" applyBorder="1" applyAlignment="1">
      <alignment horizontal="right"/>
    </xf>
    <xf numFmtId="0" fontId="0" fillId="2" borderId="1" xfId="0" applyFill="1" applyBorder="1" applyAlignment="1">
      <alignment horizontal="center"/>
    </xf>
    <xf numFmtId="0" fontId="0" fillId="0" borderId="7" xfId="0" applyFont="1" applyFill="1" applyBorder="1" applyAlignment="1">
      <alignment/>
    </xf>
    <xf numFmtId="0" fontId="0" fillId="0" borderId="7" xfId="0" applyFill="1" applyBorder="1" applyAlignment="1">
      <alignment horizontal="center"/>
    </xf>
    <xf numFmtId="184" fontId="0" fillId="0" borderId="7" xfId="0" applyNumberFormat="1" applyFill="1" applyBorder="1" applyAlignment="1">
      <alignment/>
    </xf>
    <xf numFmtId="0" fontId="10" fillId="2" borderId="0" xfId="0" applyFont="1" applyFill="1" applyAlignment="1" applyProtection="1">
      <alignment horizontal="right"/>
      <protection hidden="1"/>
    </xf>
    <xf numFmtId="0" fontId="0" fillId="2" borderId="15" xfId="0" applyFill="1" applyBorder="1" applyAlignment="1" applyProtection="1">
      <alignment/>
      <protection hidden="1"/>
    </xf>
    <xf numFmtId="0" fontId="0" fillId="2" borderId="6" xfId="0" applyFont="1" applyFill="1" applyBorder="1" applyAlignment="1">
      <alignment/>
    </xf>
    <xf numFmtId="0" fontId="1" fillId="3" borderId="8" xfId="0" applyFont="1" applyFill="1" applyBorder="1" applyAlignment="1" applyProtection="1">
      <alignment/>
      <protection hidden="1"/>
    </xf>
    <xf numFmtId="0" fontId="19" fillId="3" borderId="7" xfId="0" applyFont="1" applyFill="1" applyBorder="1" applyAlignment="1" applyProtection="1">
      <alignment horizontal="center"/>
      <protection hidden="1"/>
    </xf>
    <xf numFmtId="2" fontId="10" fillId="2" borderId="15" xfId="0" applyNumberFormat="1" applyFont="1" applyFill="1" applyBorder="1" applyAlignment="1" applyProtection="1">
      <alignment/>
      <protection hidden="1" locked="0"/>
    </xf>
    <xf numFmtId="2" fontId="0" fillId="2" borderId="0" xfId="0" applyNumberFormat="1" applyFill="1" applyAlignment="1" applyProtection="1">
      <alignment/>
      <protection hidden="1"/>
    </xf>
    <xf numFmtId="0" fontId="0" fillId="2" borderId="0" xfId="0" applyFill="1" applyBorder="1" applyAlignment="1" applyProtection="1">
      <alignment horizontal="right"/>
      <protection hidden="1"/>
    </xf>
    <xf numFmtId="184" fontId="6" fillId="0" borderId="0" xfId="0" applyNumberFormat="1" applyFont="1" applyBorder="1" applyAlignment="1">
      <alignment/>
    </xf>
    <xf numFmtId="0" fontId="21" fillId="3" borderId="6" xfId="0" applyFont="1" applyFill="1" applyBorder="1" applyAlignment="1" applyProtection="1">
      <alignment/>
      <protection hidden="1"/>
    </xf>
    <xf numFmtId="0" fontId="21" fillId="3" borderId="8" xfId="0" applyFont="1" applyFill="1" applyBorder="1" applyAlignment="1" applyProtection="1">
      <alignment/>
      <protection hidden="1"/>
    </xf>
    <xf numFmtId="0" fontId="19" fillId="3" borderId="13" xfId="0" applyFont="1" applyFill="1" applyBorder="1" applyAlignment="1" applyProtection="1">
      <alignment/>
      <protection hidden="1"/>
    </xf>
    <xf numFmtId="0" fontId="0" fillId="2" borderId="5" xfId="0" applyFill="1" applyBorder="1" applyAlignment="1">
      <alignment/>
    </xf>
    <xf numFmtId="0" fontId="0" fillId="2" borderId="5" xfId="0" applyFill="1" applyBorder="1" applyAlignment="1" applyProtection="1">
      <alignment/>
      <protection hidden="1"/>
    </xf>
    <xf numFmtId="0" fontId="0" fillId="2" borderId="0" xfId="0" applyFont="1" applyFill="1" applyBorder="1" applyAlignment="1">
      <alignment/>
    </xf>
    <xf numFmtId="0" fontId="0" fillId="2" borderId="7" xfId="0" applyFill="1" applyBorder="1" applyAlignment="1">
      <alignment/>
    </xf>
    <xf numFmtId="2" fontId="0" fillId="2" borderId="7" xfId="0" applyNumberFormat="1" applyFill="1" applyBorder="1" applyAlignment="1">
      <alignment/>
    </xf>
    <xf numFmtId="0" fontId="0" fillId="2" borderId="7" xfId="0" applyFont="1" applyFill="1" applyBorder="1" applyAlignment="1" applyProtection="1">
      <alignment horizontal="left"/>
      <protection hidden="1"/>
    </xf>
    <xf numFmtId="2" fontId="1" fillId="3" borderId="8" xfId="0" applyNumberFormat="1" applyFont="1" applyFill="1" applyBorder="1" applyAlignment="1" applyProtection="1">
      <alignment/>
      <protection hidden="1"/>
    </xf>
    <xf numFmtId="0" fontId="1" fillId="3" borderId="23" xfId="0" applyFont="1" applyFill="1" applyBorder="1" applyAlignment="1" applyProtection="1" quotePrefix="1">
      <alignment horizontal="left"/>
      <protection hidden="1"/>
    </xf>
    <xf numFmtId="0" fontId="34" fillId="3" borderId="1" xfId="0" applyFont="1" applyFill="1" applyBorder="1" applyAlignment="1">
      <alignment horizontal="center"/>
    </xf>
    <xf numFmtId="0" fontId="37" fillId="0" borderId="0" xfId="0" applyFont="1" applyAlignment="1">
      <alignment/>
    </xf>
    <xf numFmtId="2" fontId="0" fillId="0" borderId="1" xfId="0" applyNumberFormat="1" applyFont="1" applyBorder="1" applyAlignment="1">
      <alignment/>
    </xf>
    <xf numFmtId="180" fontId="20" fillId="0" borderId="1" xfId="0" applyNumberFormat="1" applyFont="1" applyFill="1" applyBorder="1" applyAlignment="1">
      <alignment horizontal="center"/>
    </xf>
    <xf numFmtId="0" fontId="19" fillId="0" borderId="0" xfId="0" applyFont="1" applyAlignment="1">
      <alignment horizontal="center"/>
    </xf>
    <xf numFmtId="0" fontId="38" fillId="2" borderId="0" xfId="0" applyFont="1" applyFill="1" applyBorder="1" applyAlignment="1">
      <alignment/>
    </xf>
    <xf numFmtId="0" fontId="39" fillId="2" borderId="0" xfId="0" applyFont="1" applyFill="1" applyBorder="1" applyAlignment="1">
      <alignment/>
    </xf>
    <xf numFmtId="0" fontId="40" fillId="2" borderId="0" xfId="0" applyFont="1" applyFill="1" applyBorder="1" applyAlignment="1">
      <alignment/>
    </xf>
    <xf numFmtId="0" fontId="0" fillId="0" borderId="6" xfId="0" applyFont="1" applyFill="1" applyBorder="1" applyAlignment="1">
      <alignment/>
    </xf>
    <xf numFmtId="0" fontId="41" fillId="0" borderId="0" xfId="0" applyFont="1" applyAlignment="1">
      <alignment wrapText="1"/>
    </xf>
    <xf numFmtId="0" fontId="37" fillId="0" borderId="0" xfId="0" applyFont="1" applyAlignment="1">
      <alignment vertical="top" wrapText="1"/>
    </xf>
    <xf numFmtId="0" fontId="41" fillId="0" borderId="0" xfId="0" applyFont="1" applyAlignment="1">
      <alignment/>
    </xf>
    <xf numFmtId="0" fontId="0" fillId="0" borderId="1" xfId="0" applyFont="1" applyFill="1" applyBorder="1" applyAlignment="1">
      <alignment/>
    </xf>
    <xf numFmtId="0" fontId="0" fillId="0" borderId="1" xfId="0" applyFont="1" applyFill="1" applyBorder="1" applyAlignment="1">
      <alignment horizontal="center"/>
    </xf>
    <xf numFmtId="184" fontId="0" fillId="0" borderId="1" xfId="0" applyNumberFormat="1" applyFont="1" applyFill="1" applyBorder="1" applyAlignment="1">
      <alignment/>
    </xf>
    <xf numFmtId="0" fontId="6" fillId="0" borderId="0" xfId="0" applyFont="1" applyBorder="1" applyAlignment="1">
      <alignment/>
    </xf>
    <xf numFmtId="0" fontId="6" fillId="2" borderId="5" xfId="0" applyFont="1" applyFill="1" applyBorder="1" applyAlignment="1" applyProtection="1">
      <alignment/>
      <protection hidden="1"/>
    </xf>
    <xf numFmtId="2" fontId="34" fillId="3" borderId="1" xfId="0" applyNumberFormat="1" applyFont="1" applyFill="1" applyBorder="1" applyAlignment="1" applyProtection="1">
      <alignment/>
      <protection hidden="1" locked="0"/>
    </xf>
    <xf numFmtId="0" fontId="19" fillId="3" borderId="1" xfId="0" applyFont="1" applyFill="1" applyBorder="1" applyAlignment="1" applyProtection="1">
      <alignment/>
      <protection hidden="1"/>
    </xf>
    <xf numFmtId="2" fontId="34" fillId="3" borderId="2" xfId="0" applyNumberFormat="1" applyFont="1" applyFill="1" applyBorder="1" applyAlignment="1" applyProtection="1">
      <alignment/>
      <protection hidden="1" locked="0"/>
    </xf>
    <xf numFmtId="0" fontId="34" fillId="3" borderId="2" xfId="0" applyNumberFormat="1" applyFont="1" applyFill="1" applyBorder="1" applyAlignment="1" applyProtection="1">
      <alignment/>
      <protection hidden="1" locked="0"/>
    </xf>
    <xf numFmtId="0" fontId="34" fillId="3" borderId="1" xfId="0" applyNumberFormat="1" applyFont="1" applyFill="1" applyBorder="1" applyAlignment="1" applyProtection="1">
      <alignment/>
      <protection hidden="1" locked="0"/>
    </xf>
    <xf numFmtId="182" fontId="34" fillId="3" borderId="1" xfId="0" applyNumberFormat="1" applyFont="1" applyFill="1" applyBorder="1" applyAlignment="1" applyProtection="1">
      <alignment/>
      <protection hidden="1" locked="0"/>
    </xf>
    <xf numFmtId="2" fontId="34" fillId="3" borderId="9" xfId="0" applyNumberFormat="1" applyFont="1" applyFill="1" applyBorder="1" applyAlignment="1" applyProtection="1">
      <alignment/>
      <protection hidden="1" locked="0"/>
    </xf>
    <xf numFmtId="0" fontId="19" fillId="3" borderId="9" xfId="0" applyFont="1" applyFill="1" applyBorder="1" applyAlignment="1" applyProtection="1">
      <alignment/>
      <protection hidden="1"/>
    </xf>
    <xf numFmtId="0" fontId="19" fillId="3" borderId="8" xfId="0" applyFont="1" applyFill="1" applyBorder="1" applyAlignment="1" applyProtection="1">
      <alignment horizontal="right"/>
      <protection hidden="1"/>
    </xf>
    <xf numFmtId="0" fontId="9" fillId="3" borderId="21" xfId="0" applyFont="1" applyFill="1" applyBorder="1" applyAlignment="1" applyProtection="1">
      <alignment/>
      <protection hidden="1"/>
    </xf>
    <xf numFmtId="0" fontId="1" fillId="3" borderId="3" xfId="0" applyFont="1" applyFill="1" applyBorder="1" applyAlignment="1" applyProtection="1">
      <alignment/>
      <protection hidden="1"/>
    </xf>
    <xf numFmtId="0" fontId="1" fillId="3" borderId="3" xfId="0" applyFont="1" applyFill="1" applyBorder="1" applyAlignment="1" applyProtection="1" quotePrefix="1">
      <alignment horizontal="left"/>
      <protection hidden="1"/>
    </xf>
    <xf numFmtId="2" fontId="1" fillId="3" borderId="24" xfId="0" applyNumberFormat="1" applyFont="1" applyFill="1" applyBorder="1" applyAlignment="1" applyProtection="1">
      <alignment/>
      <protection hidden="1"/>
    </xf>
    <xf numFmtId="10" fontId="1" fillId="3" borderId="25" xfId="21" applyNumberFormat="1" applyFont="1" applyFill="1" applyBorder="1" applyAlignment="1" applyProtection="1">
      <alignment/>
      <protection hidden="1"/>
    </xf>
    <xf numFmtId="0" fontId="9" fillId="3" borderId="1" xfId="0" applyFont="1" applyFill="1" applyBorder="1" applyAlignment="1" applyProtection="1">
      <alignment/>
      <protection hidden="1"/>
    </xf>
    <xf numFmtId="0" fontId="1" fillId="3" borderId="1" xfId="0" applyFont="1" applyFill="1" applyBorder="1" applyAlignment="1" applyProtection="1">
      <alignment/>
      <protection hidden="1"/>
    </xf>
    <xf numFmtId="0" fontId="9" fillId="2" borderId="0" xfId="0" applyFont="1" applyFill="1" applyBorder="1" applyAlignment="1" applyProtection="1">
      <alignment/>
      <protection hidden="1"/>
    </xf>
    <xf numFmtId="0" fontId="1" fillId="2" borderId="7" xfId="0" applyFont="1" applyFill="1" applyBorder="1" applyAlignment="1" applyProtection="1">
      <alignment/>
      <protection hidden="1"/>
    </xf>
    <xf numFmtId="0" fontId="0" fillId="2" borderId="0" xfId="0" applyFont="1" applyFill="1" applyBorder="1" applyAlignment="1" applyProtection="1">
      <alignment/>
      <protection hidden="1"/>
    </xf>
    <xf numFmtId="2" fontId="1" fillId="2" borderId="7" xfId="21" applyNumberFormat="1" applyFont="1" applyFill="1" applyBorder="1" applyAlignment="1" applyProtection="1">
      <alignment/>
      <protection hidden="1"/>
    </xf>
    <xf numFmtId="2" fontId="19" fillId="3" borderId="1" xfId="0" applyNumberFormat="1" applyFont="1" applyFill="1" applyBorder="1" applyAlignment="1" applyProtection="1">
      <alignment/>
      <protection hidden="1"/>
    </xf>
    <xf numFmtId="2" fontId="1" fillId="3" borderId="1" xfId="0" applyNumberFormat="1" applyFont="1" applyFill="1" applyBorder="1" applyAlignment="1" applyProtection="1">
      <alignment/>
      <protection hidden="1"/>
    </xf>
    <xf numFmtId="2" fontId="19" fillId="4" borderId="1" xfId="0" applyNumberFormat="1" applyFont="1" applyFill="1" applyBorder="1" applyAlignment="1">
      <alignment/>
    </xf>
    <xf numFmtId="0" fontId="19" fillId="4" borderId="1" xfId="0" applyFont="1" applyFill="1" applyBorder="1" applyAlignment="1">
      <alignment horizontal="right"/>
    </xf>
    <xf numFmtId="0" fontId="19" fillId="4" borderId="1" xfId="0" applyFont="1" applyFill="1" applyBorder="1" applyAlignment="1">
      <alignment horizontal="center"/>
    </xf>
    <xf numFmtId="2" fontId="19" fillId="4" borderId="1" xfId="0" applyNumberFormat="1" applyFont="1" applyFill="1" applyBorder="1" applyAlignment="1">
      <alignment horizontal="center"/>
    </xf>
    <xf numFmtId="190" fontId="0" fillId="0" borderId="1" xfId="0" applyNumberFormat="1" applyBorder="1" applyAlignment="1">
      <alignment/>
    </xf>
    <xf numFmtId="190" fontId="19" fillId="4" borderId="1" xfId="0" applyNumberFormat="1" applyFont="1" applyFill="1" applyBorder="1" applyAlignment="1">
      <alignment horizontal="center"/>
    </xf>
    <xf numFmtId="190" fontId="28" fillId="0" borderId="1" xfId="0" applyNumberFormat="1" applyFont="1" applyFill="1" applyBorder="1" applyAlignment="1">
      <alignment horizontal="center"/>
    </xf>
    <xf numFmtId="190" fontId="19" fillId="4" borderId="1" xfId="0" applyNumberFormat="1" applyFont="1" applyFill="1" applyBorder="1" applyAlignment="1">
      <alignment/>
    </xf>
    <xf numFmtId="190" fontId="0" fillId="0" borderId="0" xfId="0" applyNumberFormat="1" applyFont="1" applyAlignment="1">
      <alignment/>
    </xf>
    <xf numFmtId="190" fontId="0" fillId="0" borderId="1" xfId="0" applyNumberFormat="1" applyFont="1" applyBorder="1" applyAlignment="1">
      <alignment/>
    </xf>
    <xf numFmtId="190" fontId="1" fillId="0" borderId="1" xfId="0" applyNumberFormat="1" applyFont="1" applyBorder="1" applyAlignment="1">
      <alignment/>
    </xf>
    <xf numFmtId="190" fontId="0" fillId="0" borderId="1" xfId="0" applyNumberFormat="1" applyBorder="1" applyAlignment="1">
      <alignment horizontal="right"/>
    </xf>
    <xf numFmtId="190" fontId="0" fillId="3" borderId="1" xfId="0" applyNumberFormat="1" applyFill="1" applyBorder="1" applyAlignment="1">
      <alignment/>
    </xf>
    <xf numFmtId="190" fontId="1" fillId="3" borderId="1" xfId="0" applyNumberFormat="1" applyFont="1" applyFill="1" applyBorder="1" applyAlignment="1">
      <alignment horizontal="right"/>
    </xf>
    <xf numFmtId="190" fontId="0" fillId="0" borderId="1" xfId="0" applyNumberFormat="1" applyFont="1" applyBorder="1" applyAlignment="1">
      <alignment/>
    </xf>
    <xf numFmtId="190" fontId="19" fillId="4" borderId="1" xfId="0" applyNumberFormat="1" applyFont="1" applyFill="1" applyBorder="1" applyAlignment="1">
      <alignment horizontal="right"/>
    </xf>
    <xf numFmtId="190" fontId="28" fillId="0" borderId="1" xfId="0" applyNumberFormat="1" applyFont="1" applyFill="1" applyBorder="1" applyAlignment="1">
      <alignment horizontal="right"/>
    </xf>
    <xf numFmtId="190" fontId="0" fillId="0" borderId="1" xfId="0" applyNumberFormat="1" applyFill="1" applyBorder="1" applyAlignment="1">
      <alignment/>
    </xf>
    <xf numFmtId="0" fontId="0" fillId="3" borderId="1" xfId="0" applyFill="1" applyBorder="1" applyAlignment="1" applyProtection="1">
      <alignment/>
      <protection hidden="1"/>
    </xf>
    <xf numFmtId="0" fontId="0" fillId="3" borderId="8" xfId="0" applyFill="1" applyBorder="1" applyAlignment="1" applyProtection="1">
      <alignment/>
      <protection hidden="1"/>
    </xf>
    <xf numFmtId="0" fontId="9" fillId="3" borderId="5" xfId="0" applyFont="1" applyFill="1" applyBorder="1" applyAlignment="1" applyProtection="1">
      <alignment/>
      <protection hidden="1"/>
    </xf>
    <xf numFmtId="0" fontId="8" fillId="3" borderId="0" xfId="0" applyFont="1" applyFill="1" applyBorder="1" applyAlignment="1" applyProtection="1">
      <alignment/>
      <protection hidden="1"/>
    </xf>
    <xf numFmtId="0" fontId="0" fillId="3" borderId="0" xfId="0" applyFill="1" applyBorder="1" applyAlignment="1" applyProtection="1">
      <alignment/>
      <protection hidden="1"/>
    </xf>
    <xf numFmtId="0" fontId="7" fillId="3" borderId="14" xfId="0" applyFont="1" applyFill="1" applyBorder="1" applyAlignment="1" applyProtection="1">
      <alignment/>
      <protection hidden="1"/>
    </xf>
    <xf numFmtId="0" fontId="1" fillId="3" borderId="15" xfId="0" applyFont="1" applyFill="1" applyBorder="1" applyAlignment="1" applyProtection="1">
      <alignment/>
      <protection hidden="1"/>
    </xf>
    <xf numFmtId="190" fontId="0" fillId="2" borderId="1" xfId="0" applyNumberFormat="1" applyFill="1" applyBorder="1" applyAlignment="1">
      <alignment/>
    </xf>
    <xf numFmtId="190" fontId="0" fillId="2" borderId="1" xfId="0" applyNumberFormat="1" applyFont="1" applyFill="1" applyBorder="1" applyAlignment="1">
      <alignment/>
    </xf>
    <xf numFmtId="0" fontId="17" fillId="3" borderId="2" xfId="0" applyFont="1" applyFill="1" applyBorder="1" applyAlignment="1">
      <alignment horizontal="center"/>
    </xf>
    <xf numFmtId="0" fontId="17" fillId="3" borderId="1" xfId="0" applyFont="1" applyFill="1" applyBorder="1" applyAlignment="1">
      <alignment horizontal="center"/>
    </xf>
    <xf numFmtId="190" fontId="0" fillId="0" borderId="0" xfId="0" applyNumberFormat="1" applyBorder="1" applyAlignment="1">
      <alignment/>
    </xf>
    <xf numFmtId="190" fontId="0" fillId="3" borderId="1" xfId="0" applyNumberFormat="1" applyFont="1" applyFill="1" applyBorder="1" applyAlignment="1">
      <alignment/>
    </xf>
    <xf numFmtId="190" fontId="0" fillId="3" borderId="9" xfId="0" applyNumberFormat="1" applyFill="1" applyBorder="1" applyAlignment="1">
      <alignment/>
    </xf>
    <xf numFmtId="0" fontId="2" fillId="0" borderId="0" xfId="0" applyFont="1" applyBorder="1" applyAlignment="1">
      <alignment/>
    </xf>
    <xf numFmtId="4" fontId="11" fillId="0" borderId="0" xfId="0" applyNumberFormat="1" applyFont="1" applyBorder="1" applyAlignment="1">
      <alignment/>
    </xf>
    <xf numFmtId="0" fontId="20" fillId="0" borderId="0" xfId="0" applyFont="1" applyBorder="1" applyAlignment="1">
      <alignment/>
    </xf>
    <xf numFmtId="2" fontId="1" fillId="0" borderId="1" xfId="0" applyNumberFormat="1" applyFont="1" applyBorder="1" applyAlignment="1">
      <alignment/>
    </xf>
    <xf numFmtId="2" fontId="6" fillId="2" borderId="7" xfId="0" applyNumberFormat="1" applyFont="1" applyFill="1" applyBorder="1" applyAlignment="1" applyProtection="1">
      <alignment/>
      <protection hidden="1"/>
    </xf>
    <xf numFmtId="190" fontId="1" fillId="3" borderId="1" xfId="0" applyNumberFormat="1" applyFont="1" applyFill="1" applyBorder="1" applyAlignment="1" applyProtection="1">
      <alignment/>
      <protection hidden="1"/>
    </xf>
    <xf numFmtId="190" fontId="25" fillId="3" borderId="1" xfId="0" applyNumberFormat="1" applyFont="1" applyFill="1" applyBorder="1" applyAlignment="1">
      <alignment horizontal="right"/>
    </xf>
    <xf numFmtId="190" fontId="19" fillId="3" borderId="1" xfId="0" applyNumberFormat="1" applyFont="1" applyFill="1" applyBorder="1" applyAlignment="1">
      <alignment horizontal="center"/>
    </xf>
    <xf numFmtId="0" fontId="17" fillId="2" borderId="0" xfId="0" applyFont="1" applyFill="1" applyBorder="1" applyAlignment="1">
      <alignment/>
    </xf>
    <xf numFmtId="9" fontId="19" fillId="2" borderId="0" xfId="0" applyNumberFormat="1" applyFont="1" applyFill="1" applyBorder="1" applyAlignment="1">
      <alignment/>
    </xf>
    <xf numFmtId="0" fontId="20" fillId="2" borderId="0" xfId="0" applyFont="1" applyFill="1" applyBorder="1" applyAlignment="1">
      <alignment/>
    </xf>
    <xf numFmtId="0" fontId="43" fillId="5" borderId="1" xfId="0" applyFont="1" applyFill="1" applyBorder="1" applyAlignment="1">
      <alignment/>
    </xf>
    <xf numFmtId="0" fontId="43" fillId="5" borderId="18" xfId="0" applyFont="1" applyFill="1" applyBorder="1" applyAlignment="1">
      <alignment/>
    </xf>
    <xf numFmtId="9" fontId="43" fillId="5" borderId="1" xfId="0" applyNumberFormat="1" applyFont="1" applyFill="1" applyBorder="1" applyAlignment="1">
      <alignment/>
    </xf>
    <xf numFmtId="0" fontId="43" fillId="5" borderId="26" xfId="0" applyFont="1" applyFill="1" applyBorder="1" applyAlignment="1">
      <alignment/>
    </xf>
    <xf numFmtId="191" fontId="43" fillId="5" borderId="1" xfId="0" applyNumberFormat="1" applyFont="1" applyFill="1" applyBorder="1" applyAlignment="1">
      <alignment/>
    </xf>
    <xf numFmtId="0" fontId="43" fillId="5" borderId="27" xfId="0" applyFont="1" applyFill="1" applyBorder="1" applyAlignment="1">
      <alignment/>
    </xf>
    <xf numFmtId="184" fontId="25" fillId="3" borderId="1" xfId="0" applyNumberFormat="1" applyFont="1" applyFill="1" applyBorder="1" applyAlignment="1">
      <alignment/>
    </xf>
    <xf numFmtId="0" fontId="6" fillId="0" borderId="0" xfId="0" applyFont="1" applyBorder="1" applyAlignment="1">
      <alignment/>
    </xf>
    <xf numFmtId="0" fontId="43" fillId="4" borderId="23" xfId="0" applyFont="1" applyFill="1" applyBorder="1" applyAlignment="1">
      <alignment/>
    </xf>
    <xf numFmtId="0" fontId="43" fillId="4" borderId="28" xfId="0" applyFont="1" applyFill="1" applyBorder="1" applyAlignment="1">
      <alignment horizontal="center"/>
    </xf>
    <xf numFmtId="9" fontId="43" fillId="4" borderId="28" xfId="0" applyNumberFormat="1" applyFont="1" applyFill="1" applyBorder="1" applyAlignment="1">
      <alignment horizontal="center"/>
    </xf>
    <xf numFmtId="0" fontId="43" fillId="4" borderId="29" xfId="0" applyFont="1" applyFill="1" applyBorder="1" applyAlignment="1">
      <alignment/>
    </xf>
    <xf numFmtId="190" fontId="43" fillId="4" borderId="22" xfId="0" applyNumberFormat="1" applyFont="1" applyFill="1" applyBorder="1" applyAlignment="1">
      <alignment horizontal="center"/>
    </xf>
    <xf numFmtId="10" fontId="43" fillId="4" borderId="22" xfId="0" applyNumberFormat="1" applyFont="1" applyFill="1" applyBorder="1" applyAlignment="1">
      <alignment horizontal="right"/>
    </xf>
    <xf numFmtId="0" fontId="43" fillId="4" borderId="30" xfId="0" applyFont="1" applyFill="1" applyBorder="1" applyAlignment="1">
      <alignment/>
    </xf>
    <xf numFmtId="190" fontId="43" fillId="4" borderId="20" xfId="0" applyNumberFormat="1" applyFont="1" applyFill="1" applyBorder="1" applyAlignment="1">
      <alignment horizontal="center"/>
    </xf>
    <xf numFmtId="9" fontId="43" fillId="4" borderId="22" xfId="0" applyNumberFormat="1" applyFont="1" applyFill="1" applyBorder="1" applyAlignment="1">
      <alignment horizontal="right"/>
    </xf>
    <xf numFmtId="0" fontId="43" fillId="4" borderId="23" xfId="0" applyFont="1" applyFill="1" applyBorder="1" applyAlignment="1">
      <alignment horizontal="center"/>
    </xf>
    <xf numFmtId="190" fontId="43" fillId="4" borderId="28" xfId="0" applyNumberFormat="1" applyFont="1" applyFill="1" applyBorder="1" applyAlignment="1">
      <alignment horizontal="center"/>
    </xf>
    <xf numFmtId="0" fontId="0" fillId="2" borderId="1" xfId="0" applyFont="1" applyFill="1" applyBorder="1" applyAlignment="1">
      <alignment horizontal="center"/>
    </xf>
    <xf numFmtId="0" fontId="0" fillId="3" borderId="0" xfId="0" applyFont="1" applyFill="1" applyAlignment="1">
      <alignment/>
    </xf>
    <xf numFmtId="0" fontId="22" fillId="3" borderId="31" xfId="0" applyFont="1" applyFill="1" applyBorder="1" applyAlignment="1">
      <alignment horizontal="center"/>
    </xf>
    <xf numFmtId="0" fontId="22" fillId="3" borderId="32" xfId="0" applyFont="1" applyFill="1" applyBorder="1" applyAlignment="1">
      <alignment horizontal="center"/>
    </xf>
    <xf numFmtId="0" fontId="22" fillId="3" borderId="33" xfId="0" applyFont="1" applyFill="1" applyBorder="1" applyAlignment="1">
      <alignment horizontal="center"/>
    </xf>
    <xf numFmtId="0" fontId="22" fillId="3" borderId="0"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25"/>
          <c:y val="0.03125"/>
          <c:w val="0.96225"/>
          <c:h val="0.81275"/>
        </c:manualLayout>
      </c:layout>
      <c:bar3DChart>
        <c:barDir val="col"/>
        <c:grouping val="clustered"/>
        <c:varyColors val="0"/>
        <c:ser>
          <c:idx val="0"/>
          <c:order val="0"/>
          <c:tx>
            <c:strRef>
              <c:f>'costo de prod unit.'!$C$47</c:f>
              <c:strCache>
                <c:ptCount val="1"/>
                <c:pt idx="0">
                  <c:v>SUBTOTAL DIRECTOS</c:v>
                </c:pt>
              </c:strCache>
            </c:strRef>
          </c:tx>
          <c:spPr>
            <a:gradFill rotWithShape="1">
              <a:gsLst>
                <a:gs pos="0">
                  <a:srgbClr val="FFFF00"/>
                </a:gs>
                <a:gs pos="100000">
                  <a:srgbClr val="C0C0C0"/>
                </a:gs>
              </a:gsLst>
              <a:lin ang="5400000" scaled="1"/>
            </a:gradFill>
            <a:ln w="12700">
              <a:solidFill>
                <a:srgbClr val="FFFF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'costo de prod unit.'!$F$47</c:f>
              <c:numCache/>
            </c:numRef>
          </c:val>
          <c:shape val="pyramid"/>
        </c:ser>
        <c:ser>
          <c:idx val="1"/>
          <c:order val="1"/>
          <c:tx>
            <c:strRef>
              <c:f>'costo de prod unit.'!$C$57</c:f>
              <c:strCache>
                <c:ptCount val="1"/>
                <c:pt idx="0">
                  <c:v>SUBTOTAL INDIRECTOS</c:v>
                </c:pt>
              </c:strCache>
            </c:strRef>
          </c:tx>
          <c:spPr>
            <a:gradFill rotWithShape="1">
              <a:gsLst>
                <a:gs pos="0">
                  <a:srgbClr val="C0C0C0"/>
                </a:gs>
                <a:gs pos="100000">
                  <a:srgbClr val="000000"/>
                </a:gs>
              </a:gsLst>
              <a:lin ang="5400000" scaled="1"/>
            </a:gradFill>
            <a:ln w="12700">
              <a:solidFill>
                <a:srgbClr val="FFFF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'costo de prod unit.'!$F$57</c:f>
              <c:numCache/>
            </c:numRef>
          </c:val>
          <c:shape val="pyramid"/>
        </c:ser>
        <c:shape val="pyramid"/>
        <c:axId val="28395279"/>
        <c:axId val="54230920"/>
      </c:bar3DChart>
      <c:catAx>
        <c:axId val="28395279"/>
        <c:scaling>
          <c:orientation val="minMax"/>
        </c:scaling>
        <c:axPos val="b"/>
        <c:delete val="0"/>
        <c:numFmt formatCode="General" sourceLinked="1"/>
        <c:majorTickMark val="out"/>
        <c:minorTickMark val="none"/>
        <c:tickLblPos val="low"/>
        <c:crossAx val="54230920"/>
        <c:crosses val="autoZero"/>
        <c:auto val="0"/>
        <c:lblOffset val="100"/>
        <c:noMultiLvlLbl val="0"/>
      </c:catAx>
      <c:valAx>
        <c:axId val="54230920"/>
        <c:scaling>
          <c:orientation val="minMax"/>
        </c:scaling>
        <c:axPos val="l"/>
        <c:majorGridlines/>
        <c:delete val="0"/>
        <c:numFmt formatCode="General" sourceLinked="1"/>
        <c:majorTickMark val="out"/>
        <c:minorTickMark val="none"/>
        <c:tickLblPos val="nextTo"/>
        <c:crossAx val="28395279"/>
        <c:crossesAt val="1"/>
        <c:crossBetween val="between"/>
        <c:dispUnits/>
      </c:valAx>
      <c:dTable>
        <c:showHorzBorder val="1"/>
        <c:showVertBorder val="1"/>
        <c:showOutline val="1"/>
        <c:showKeys val="1"/>
      </c:dTable>
      <c:spPr>
        <a:noFill/>
        <a:ln>
          <a:noFill/>
        </a:ln>
      </c:spPr>
    </c:plotArea>
    <c:legend>
      <c:legendPos val="b"/>
      <c:layout>
        <c:manualLayout>
          <c:xMode val="edge"/>
          <c:yMode val="edge"/>
          <c:x val="0.19725"/>
          <c:y val="0.895"/>
        </c:manualLayout>
      </c:layout>
      <c:overlay val="0"/>
      <c:spPr>
        <a:solidFill>
          <a:srgbClr val="C0C0C0"/>
        </a:solidFill>
      </c:sp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gradFill rotWithShape="1">
      <a:gsLst>
        <a:gs pos="0">
          <a:srgbClr val="FFFF99"/>
        </a:gs>
        <a:gs pos="100000">
          <a:srgbClr val="C0C0C0"/>
        </a:gs>
      </a:gsLst>
      <a:path path="rect">
        <a:fillToRect l="50000" t="50000" r="50000" b="50000"/>
      </a:path>
    </a:gra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C0C0C0"/>
                </a:solidFill>
                <a:latin typeface="Arial"/>
                <a:ea typeface="Arial"/>
                <a:cs typeface="Arial"/>
              </a:rPr>
              <a:t>Intermediarios Departamento Rio Cuarto Año 1</a:t>
            </a:r>
          </a:p>
        </c:rich>
      </c:tx>
      <c:layout/>
      <c:spPr>
        <a:solidFill>
          <a:srgbClr val="C0C0C0"/>
        </a:solidFill>
        <a:ln w="3175">
          <a:solidFill>
            <a:srgbClr val="C0C0C0"/>
          </a:solidFill>
        </a:ln>
      </c:spPr>
    </c:title>
    <c:view3D>
      <c:rotX val="15"/>
      <c:hPercent val="100"/>
      <c:rotY val="0"/>
      <c:depthPercent val="100"/>
      <c:rAngAx val="1"/>
    </c:view3D>
    <c:plotArea>
      <c:layout/>
      <c:pie3DChart>
        <c:varyColors val="1"/>
        <c:ser>
          <c:idx val="0"/>
          <c:order val="0"/>
          <c:spPr>
            <a:ln w="25400">
              <a:solidFill/>
            </a:ln>
          </c:spPr>
          <c:explosion val="25"/>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cat>
            <c:strRef>
              <c:f>'Nivel Demanda'!$A$8:$A$11</c:f>
              <c:strCache/>
            </c:strRef>
          </c:cat>
          <c:val>
            <c:numRef>
              <c:f>'Nivel Demanda'!$B$8:$B$11</c:f>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cat>
            <c:strRef>
              <c:f>'Nivel Demanda'!$A$8:$A$11</c:f>
              <c:strCache/>
            </c:strRef>
          </c:cat>
          <c:val>
            <c:numRef>
              <c:f>'Nivel Demanda'!$C$8:$C$11</c:f>
              <c:numCache/>
            </c:numRef>
          </c:val>
        </c:ser>
        <c:ser>
          <c:idx val="2"/>
          <c:order val="2"/>
          <c:explosion val="25"/>
          <c:extLst>
            <c:ext xmlns:c14="http://schemas.microsoft.com/office/drawing/2007/8/2/chart" uri="{6F2FDCE9-48DA-4B69-8628-5D25D57E5C99}">
              <c14:invertSolidFillFmt>
                <c14:spPr>
                  <a:solidFill>
                    <a:srgbClr val="000000"/>
                  </a:solidFill>
                </c14:spPr>
              </c14:invertSolidFillFmt>
            </c:ext>
          </c:extLst>
          <c:cat>
            <c:strRef>
              <c:f>'Nivel Demanda'!$A$8:$A$11</c:f>
              <c:strCache/>
            </c:strRef>
          </c:cat>
          <c:val>
            <c:numRef>
              <c:f>'Nivel Demanda'!$D$8:$D$11</c:f>
              <c:numCache/>
            </c:numRef>
          </c:val>
        </c:ser>
      </c:pie3DChart>
      <c:spPr>
        <a:noFill/>
        <a:ln>
          <a:noFill/>
        </a:ln>
      </c:spPr>
    </c:plotArea>
    <c:legend>
      <c:legendPos val="r"/>
      <c:layout/>
      <c:overlay val="0"/>
      <c:spPr>
        <a:gradFill rotWithShape="1">
          <a:gsLst>
            <a:gs pos="0">
              <a:srgbClr val="FFFF99"/>
            </a:gs>
            <a:gs pos="100000">
              <a:srgbClr val="C0C0C0"/>
            </a:gs>
          </a:gsLst>
          <a:path path="rect">
            <a:fillToRect l="50000" t="50000" r="50000" b="50000"/>
          </a:path>
        </a:gradFill>
      </c:spPr>
    </c:legend>
    <c:sideWall>
      <c:thickness val="0"/>
    </c:sideWall>
    <c:backWall>
      <c:thickness val="0"/>
    </c:backWall>
    <c:plotVisOnly val="1"/>
    <c:dispBlanksAs val="gap"/>
    <c:showDLblsOverMax val="0"/>
  </c:chart>
  <c:spPr>
    <a:gradFill rotWithShape="1">
      <a:gsLst>
        <a:gs pos="0">
          <a:srgbClr val="FFFF99"/>
        </a:gs>
        <a:gs pos="100000">
          <a:srgbClr val="C0C0C0"/>
        </a:gs>
      </a:gsLst>
      <a:path path="rect">
        <a:fillToRect l="50000" t="50000" r="50000" b="50000"/>
      </a:path>
    </a:gra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Ingreso por Ventas</a:t>
            </a:r>
          </a:p>
        </c:rich>
      </c:tx>
      <c:layout/>
      <c:spPr>
        <a:noFill/>
        <a:ln>
          <a:noFill/>
        </a:ln>
      </c:spPr>
    </c:title>
    <c:plotArea>
      <c:layout/>
      <c:lineChart>
        <c:grouping val="standard"/>
        <c:varyColors val="0"/>
        <c:ser>
          <c:idx val="0"/>
          <c:order val="0"/>
          <c:tx>
            <c:strRef>
              <c:f>IPV!$B$17</c:f>
              <c:strCache>
                <c:ptCount val="1"/>
                <c:pt idx="0">
                  <c:v>Caja madera/plastico 25 plantas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IPV!$C$17:$J$17</c:f>
              <c:numCache/>
            </c:numRef>
          </c:val>
          <c:smooth val="0"/>
        </c:ser>
        <c:ser>
          <c:idx val="1"/>
          <c:order val="1"/>
          <c:tx>
            <c:strRef>
              <c:f>IPV!$B$18</c:f>
              <c:strCache>
                <c:ptCount val="1"/>
                <c:pt idx="0">
                  <c:v>Scrab Balde Plastico de 50 plantas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C0C0C0"/>
                </a:solidFill>
              </a:ln>
            </c:spPr>
          </c:marker>
          <c:val>
            <c:numRef>
              <c:f>IPV!$C$18:$J$18</c:f>
              <c:numCache/>
            </c:numRef>
          </c:val>
          <c:smooth val="0"/>
        </c:ser>
        <c:marker val="1"/>
        <c:axId val="18316233"/>
        <c:axId val="30628370"/>
      </c:lineChart>
      <c:catAx>
        <c:axId val="18316233"/>
        <c:scaling>
          <c:orientation val="minMax"/>
        </c:scaling>
        <c:axPos val="b"/>
        <c:title>
          <c:tx>
            <c:rich>
              <a:bodyPr vert="horz" rot="0" anchor="ctr"/>
              <a:lstStyle/>
              <a:p>
                <a:pPr algn="ctr">
                  <a:defRPr/>
                </a:pPr>
                <a:r>
                  <a:rPr lang="en-US" cap="none" sz="1000" b="1" i="0" u="none" baseline="0">
                    <a:latin typeface="Arial"/>
                    <a:ea typeface="Arial"/>
                    <a:cs typeface="Arial"/>
                  </a:rPr>
                  <a:t>Periodo</a:t>
                </a:r>
              </a:p>
            </c:rich>
          </c:tx>
          <c:layout/>
          <c:overlay val="0"/>
          <c:spPr>
            <a:noFill/>
            <a:ln>
              <a:noFill/>
            </a:ln>
          </c:spPr>
        </c:title>
        <c:delete val="0"/>
        <c:numFmt formatCode="General" sourceLinked="1"/>
        <c:majorTickMark val="out"/>
        <c:minorTickMark val="none"/>
        <c:tickLblPos val="nextTo"/>
        <c:crossAx val="30628370"/>
        <c:crosses val="autoZero"/>
        <c:auto val="1"/>
        <c:lblOffset val="100"/>
        <c:noMultiLvlLbl val="0"/>
      </c:catAx>
      <c:valAx>
        <c:axId val="30628370"/>
        <c:scaling>
          <c:orientation val="minMax"/>
        </c:scaling>
        <c:axPos val="l"/>
        <c:majorGridlines/>
        <c:delete val="0"/>
        <c:numFmt formatCode="General" sourceLinked="1"/>
        <c:majorTickMark val="out"/>
        <c:minorTickMark val="none"/>
        <c:tickLblPos val="nextTo"/>
        <c:crossAx val="18316233"/>
        <c:crossesAt val="1"/>
        <c:crossBetween val="between"/>
        <c:dispUnits/>
      </c:valAx>
      <c:spPr>
        <a:solidFill>
          <a:srgbClr val="C0C0C0"/>
        </a:solidFill>
        <a:ln w="12700">
          <a:solidFill>
            <a:srgbClr val="808080"/>
          </a:solidFill>
        </a:ln>
      </c:spPr>
    </c:plotArea>
    <c:legend>
      <c:legendPos val="r"/>
      <c:layout/>
      <c:overlay val="0"/>
      <c:spPr>
        <a:gradFill rotWithShape="1">
          <a:gsLst>
            <a:gs pos="0">
              <a:srgbClr val="FFFF99"/>
            </a:gs>
            <a:gs pos="100000">
              <a:srgbClr val="C0C0C0"/>
            </a:gs>
          </a:gsLst>
          <a:path path="rect">
            <a:fillToRect l="50000" t="50000" r="50000" b="50000"/>
          </a:path>
        </a:gradFill>
      </c:spPr>
    </c:legend>
    <c:plotVisOnly val="1"/>
    <c:dispBlanksAs val="gap"/>
    <c:showDLblsOverMax val="0"/>
  </c:chart>
  <c:spPr>
    <a:gradFill rotWithShape="1">
      <a:gsLst>
        <a:gs pos="0">
          <a:srgbClr val="FFFF99"/>
        </a:gs>
        <a:gs pos="100000">
          <a:srgbClr val="C0C0C0"/>
        </a:gs>
      </a:gsLst>
      <a:path path="rect">
        <a:fillToRect l="50000" t="50000" r="50000" b="50000"/>
      </a:path>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Egresos Anuales Año 2011
</a:t>
            </a:r>
          </a:p>
        </c:rich>
      </c:tx>
      <c:layout/>
      <c:spPr>
        <a:noFill/>
        <a:ln>
          <a:noFill/>
        </a:ln>
      </c:spPr>
    </c:title>
    <c:view3D>
      <c:rotX val="15"/>
      <c:rotY val="20"/>
      <c:depthPercent val="100"/>
      <c:rAngAx val="1"/>
    </c:view3D>
    <c:plotArea>
      <c:layout/>
      <c:bar3DChart>
        <c:barDir val="col"/>
        <c:grouping val="stacked"/>
        <c:varyColors val="0"/>
        <c:ser>
          <c:idx val="0"/>
          <c:order val="0"/>
          <c:spPr>
            <a:gradFill rotWithShape="1">
              <a:gsLst>
                <a:gs pos="0">
                  <a:srgbClr val="FFFF00"/>
                </a:gs>
                <a:gs pos="100000">
                  <a:srgbClr val="C0C0C0"/>
                </a:gs>
              </a:gsLst>
              <a:path path="rect">
                <a:fillToRect r="100000" b="100000"/>
              </a:path>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('Flujo Egresos anuales'!$A$21,'Flujo Egresos anuales'!$A$31)</c:f>
              <c:strCache/>
            </c:strRef>
          </c:cat>
          <c:val>
            <c:numRef>
              <c:f>('Flujo Egresos anuales'!$D$21,'Flujo Egresos anuales'!$D$31)</c:f>
              <c:numCache/>
            </c:numRef>
          </c:val>
          <c:shape val="box"/>
        </c:ser>
        <c:overlap val="100"/>
        <c:shape val="box"/>
        <c:axId val="7219875"/>
        <c:axId val="64978876"/>
      </c:bar3DChart>
      <c:catAx>
        <c:axId val="7219875"/>
        <c:scaling>
          <c:orientation val="minMax"/>
        </c:scaling>
        <c:axPos val="b"/>
        <c:delete val="0"/>
        <c:numFmt formatCode="General" sourceLinked="1"/>
        <c:majorTickMark val="out"/>
        <c:minorTickMark val="none"/>
        <c:tickLblPos val="low"/>
        <c:crossAx val="64978876"/>
        <c:crosses val="autoZero"/>
        <c:auto val="1"/>
        <c:lblOffset val="100"/>
        <c:noMultiLvlLbl val="0"/>
      </c:catAx>
      <c:valAx>
        <c:axId val="64978876"/>
        <c:scaling>
          <c:orientation val="minMax"/>
        </c:scaling>
        <c:axPos val="l"/>
        <c:majorGridlines/>
        <c:delete val="0"/>
        <c:numFmt formatCode="General" sourceLinked="1"/>
        <c:majorTickMark val="out"/>
        <c:minorTickMark val="none"/>
        <c:tickLblPos val="nextTo"/>
        <c:crossAx val="7219875"/>
        <c:crossesAt val="1"/>
        <c:crossBetween val="between"/>
        <c:dispUnits/>
      </c:valAx>
      <c:dTable>
        <c:showHorzBorder val="1"/>
        <c:showVertBorder val="1"/>
        <c:showOutline val="1"/>
        <c:showKeys val="1"/>
        <c:txPr>
          <a:bodyPr vert="horz" rot="0"/>
          <a:lstStyle/>
          <a:p>
            <a:pPr>
              <a:defRPr lang="en-US" cap="none" sz="1000" b="1" i="0" u="none" baseline="0">
                <a:latin typeface="Arial"/>
                <a:ea typeface="Arial"/>
                <a:cs typeface="Arial"/>
              </a:defRPr>
            </a:pPr>
          </a:p>
        </c:txPr>
      </c:dTable>
      <c:spPr>
        <a:noFill/>
        <a:ln>
          <a:noFill/>
        </a:ln>
      </c:spPr>
    </c:plotArea>
    <c:legend>
      <c:legendPos val="tr"/>
      <c:layout/>
      <c:overlay val="0"/>
      <c:spPr>
        <a:solidFill>
          <a:srgbClr val="C0C0C0"/>
        </a:solidFill>
      </c:spPr>
    </c:legend>
    <c:floo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FF00"/>
        </a:gs>
        <a:gs pos="100000">
          <a:srgbClr val="C0C0C0"/>
        </a:gs>
      </a:gsLst>
      <a:path path="rect">
        <a:fillToRect r="100000" b="100000"/>
      </a:path>
    </a:gradFill>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969696"/>
                </a:solidFill>
                <a:latin typeface="Arial"/>
                <a:ea typeface="Arial"/>
                <a:cs typeface="Arial"/>
              </a:rPr>
              <a:t>PAY BACK</a:t>
            </a:r>
          </a:p>
        </c:rich>
      </c:tx>
      <c:layout/>
      <c:spPr>
        <a:solidFill>
          <a:srgbClr val="FFFF00"/>
        </a:solidFill>
        <a:ln w="3175">
          <a:solidFill/>
        </a:ln>
      </c:spPr>
    </c:title>
    <c:view3D>
      <c:rotX val="15"/>
      <c:rotY val="20"/>
      <c:depthPercent val="100"/>
      <c:rAngAx val="1"/>
    </c:view3D>
    <c:plotArea>
      <c:layout/>
      <c:bar3DChart>
        <c:barDir val="col"/>
        <c:grouping val="clustered"/>
        <c:varyColors val="0"/>
        <c:ser>
          <c:idx val="0"/>
          <c:order val="0"/>
          <c:spPr>
            <a:pattFill prst="pct90">
              <a:fgClr>
                <a:srgbClr val="FFFF00"/>
              </a:fgClr>
              <a:bgClr>
                <a:srgbClr val="9999FF"/>
              </a:bgClr>
            </a:pattFill>
            <a:ln w="12700">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9999FF"/>
                  </a:solidFill>
                </c14:spPr>
              </c14:invertSolidFillFmt>
            </c:ext>
          </c:extLst>
          <c:val>
            <c:numRef>
              <c:f>'FLUJO DE CAJA'!$C$41:$J$41</c:f>
              <c:numCache/>
            </c:numRef>
          </c:val>
          <c:shape val="cone"/>
        </c:ser>
        <c:shape val="cone"/>
        <c:axId val="47938973"/>
        <c:axId val="28797574"/>
      </c:bar3DChart>
      <c:catAx>
        <c:axId val="47938973"/>
        <c:scaling>
          <c:orientation val="minMax"/>
        </c:scaling>
        <c:axPos val="b"/>
        <c:delete val="0"/>
        <c:numFmt formatCode="General" sourceLinked="1"/>
        <c:majorTickMark val="out"/>
        <c:minorTickMark val="none"/>
        <c:tickLblPos val="low"/>
        <c:crossAx val="28797574"/>
        <c:crosses val="autoZero"/>
        <c:auto val="1"/>
        <c:lblOffset val="100"/>
        <c:noMultiLvlLbl val="0"/>
      </c:catAx>
      <c:valAx>
        <c:axId val="28797574"/>
        <c:scaling>
          <c:orientation val="minMax"/>
        </c:scaling>
        <c:axPos val="l"/>
        <c:majorGridlines/>
        <c:delete val="0"/>
        <c:numFmt formatCode="General" sourceLinked="1"/>
        <c:majorTickMark val="out"/>
        <c:minorTickMark val="none"/>
        <c:tickLblPos val="nextTo"/>
        <c:crossAx val="47938973"/>
        <c:crossesAt val="1"/>
        <c:crossBetween val="between"/>
        <c:dispUnits/>
      </c:valAx>
      <c:spPr>
        <a:noFill/>
        <a:ln>
          <a:noFill/>
        </a:ln>
      </c:spPr>
    </c:plotArea>
    <c:legend>
      <c:legendPos val="r"/>
      <c:layout/>
      <c:overlay val="0"/>
    </c:legend>
    <c:floor>
      <c:thickness val="0"/>
    </c:floor>
    <c:sideWall>
      <c:spPr>
        <a:solidFill>
          <a:srgbClr val="C0C0C0"/>
        </a:solidFill>
        <a:ln w="3175">
          <a:noFill/>
        </a:ln>
      </c:spPr>
      <c:thickness val="0"/>
    </c:sideWall>
    <c:backWall>
      <c:spPr>
        <a:solidFill>
          <a:srgbClr val="C0C0C0"/>
        </a:solidFill>
        <a:ln w="3175">
          <a:noFill/>
        </a:ln>
      </c:spPr>
      <c:thickness val="0"/>
    </c:backWall>
    <c:plotVisOnly val="1"/>
    <c:dispBlanksAs val="gap"/>
    <c:showDLblsOverMax val="0"/>
  </c:chart>
  <c:spPr>
    <a:solidFill>
      <a:srgbClr val="969696"/>
    </a:solidFill>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969696"/>
                </a:solidFill>
                <a:latin typeface="Arial"/>
                <a:ea typeface="Arial"/>
                <a:cs typeface="Arial"/>
              </a:rPr>
              <a:t>SALDO</a:t>
            </a:r>
          </a:p>
        </c:rich>
      </c:tx>
      <c:layout/>
      <c:spPr>
        <a:solidFill>
          <a:srgbClr val="FFFF00"/>
        </a:solidFill>
        <a:ln w="3175">
          <a:solidFill/>
        </a:ln>
      </c:spPr>
    </c:title>
    <c:view3D>
      <c:rotX val="15"/>
      <c:rotY val="20"/>
      <c:depthPercent val="100"/>
      <c:rAngAx val="1"/>
    </c:view3D>
    <c:plotArea>
      <c:layout/>
      <c:bar3DChart>
        <c:barDir val="col"/>
        <c:grouping val="clustered"/>
        <c:varyColors val="0"/>
        <c:ser>
          <c:idx val="0"/>
          <c:order val="0"/>
          <c:spPr>
            <a:pattFill prst="pct5">
              <a:fgClr>
                <a:srgbClr val="C0C0C0"/>
              </a:fgClr>
              <a:bgClr>
                <a:srgbClr val="FFFF00"/>
              </a:bgClr>
            </a:pattFill>
            <a:ln w="12700">
              <a:pattFill prst="pct50">
                <a:fgClr>
                  <a:srgbClr val="000000"/>
                </a:fgClr>
                <a:bgClr>
                  <a:srgbClr val="FFFFFF"/>
                </a:bgClr>
              </a:pattFill>
            </a:ln>
          </c:spPr>
          <c:invertIfNegative val="0"/>
          <c:extLst>
            <c:ext xmlns:c14="http://schemas.microsoft.com/office/drawing/2007/8/2/chart" uri="{6F2FDCE9-48DA-4B69-8628-5D25D57E5C99}">
              <c14:invertSolidFillFmt>
                <c14:spPr>
                  <a:solidFill>
                    <a:srgbClr val="FFFF00"/>
                  </a:solidFill>
                </c14:spPr>
              </c14:invertSolidFillFmt>
            </c:ext>
          </c:extLst>
          <c:val>
            <c:numRef>
              <c:f>'FLUJO DE CAJA'!$C$39:$J$39</c:f>
              <c:numCache/>
            </c:numRef>
          </c:val>
          <c:shape val="cone"/>
        </c:ser>
        <c:shape val="cone"/>
        <c:axId val="57851575"/>
        <c:axId val="50902128"/>
      </c:bar3DChart>
      <c:catAx>
        <c:axId val="57851575"/>
        <c:scaling>
          <c:orientation val="minMax"/>
        </c:scaling>
        <c:axPos val="b"/>
        <c:delete val="0"/>
        <c:numFmt formatCode="General" sourceLinked="1"/>
        <c:majorTickMark val="out"/>
        <c:minorTickMark val="none"/>
        <c:tickLblPos val="low"/>
        <c:crossAx val="50902128"/>
        <c:crosses val="autoZero"/>
        <c:auto val="1"/>
        <c:lblOffset val="100"/>
        <c:noMultiLvlLbl val="0"/>
      </c:catAx>
      <c:valAx>
        <c:axId val="50902128"/>
        <c:scaling>
          <c:orientation val="minMax"/>
        </c:scaling>
        <c:axPos val="l"/>
        <c:majorGridlines/>
        <c:delete val="0"/>
        <c:numFmt formatCode="General" sourceLinked="1"/>
        <c:majorTickMark val="out"/>
        <c:minorTickMark val="none"/>
        <c:tickLblPos val="nextTo"/>
        <c:crossAx val="57851575"/>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969696"/>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969696"/>
                </a:solidFill>
                <a:latin typeface="Arial"/>
                <a:ea typeface="Arial"/>
                <a:cs typeface="Arial"/>
              </a:rPr>
              <a:t>SALDO ACTUAL</a:t>
            </a:r>
          </a:p>
        </c:rich>
      </c:tx>
      <c:layout/>
      <c:spPr>
        <a:solidFill>
          <a:srgbClr val="FFFF00"/>
        </a:solidFill>
        <a:ln w="3175">
          <a:solidFill/>
        </a:ln>
      </c:spPr>
    </c:title>
    <c:view3D>
      <c:rotX val="15"/>
      <c:rotY val="20"/>
      <c:depthPercent val="100"/>
      <c:rAngAx val="1"/>
    </c:view3D>
    <c:plotArea>
      <c:layout>
        <c:manualLayout>
          <c:xMode val="edge"/>
          <c:yMode val="edge"/>
          <c:x val="0"/>
          <c:y val="0.0935"/>
          <c:w val="0.90775"/>
          <c:h val="0.9065"/>
        </c:manualLayout>
      </c:layout>
      <c:bar3DChart>
        <c:barDir val="col"/>
        <c:grouping val="clustered"/>
        <c:varyColors val="0"/>
        <c:ser>
          <c:idx val="0"/>
          <c:order val="0"/>
          <c:spPr>
            <a:pattFill prst="pct90">
              <a:fgClr>
                <a:srgbClr val="FFFF00"/>
              </a:fgClr>
              <a:bgClr>
                <a:srgbClr val="C0C0C0"/>
              </a:bgClr>
            </a:pattFill>
            <a:ln w="12700">
              <a:solidFill>
                <a:srgbClr val="FFFF00"/>
              </a:solidFill>
            </a:ln>
          </c:spPr>
          <c:invertIfNegative val="0"/>
          <c:extLst>
            <c:ext xmlns:c14="http://schemas.microsoft.com/office/drawing/2007/8/2/chart" uri="{6F2FDCE9-48DA-4B69-8628-5D25D57E5C99}">
              <c14:invertSolidFillFmt>
                <c14:spPr>
                  <a:solidFill>
                    <a:srgbClr val="C0C0C0"/>
                  </a:solidFill>
                </c14:spPr>
              </c14:invertSolidFillFmt>
            </c:ext>
          </c:extLst>
          <c:val>
            <c:numRef>
              <c:f>'FLUJO DE CAJA'!$C$40:$J$40</c:f>
              <c:numCache/>
            </c:numRef>
          </c:val>
          <c:shape val="cone"/>
        </c:ser>
        <c:shape val="cone"/>
        <c:axId val="55465969"/>
        <c:axId val="29431674"/>
      </c:bar3DChart>
      <c:catAx>
        <c:axId val="55465969"/>
        <c:scaling>
          <c:orientation val="minMax"/>
        </c:scaling>
        <c:axPos val="b"/>
        <c:delete val="0"/>
        <c:numFmt formatCode="General" sourceLinked="1"/>
        <c:majorTickMark val="out"/>
        <c:minorTickMark val="none"/>
        <c:tickLblPos val="low"/>
        <c:crossAx val="29431674"/>
        <c:crosses val="autoZero"/>
        <c:auto val="1"/>
        <c:lblOffset val="100"/>
        <c:noMultiLvlLbl val="0"/>
      </c:catAx>
      <c:valAx>
        <c:axId val="29431674"/>
        <c:scaling>
          <c:orientation val="minMax"/>
        </c:scaling>
        <c:axPos val="l"/>
        <c:majorGridlines/>
        <c:delete val="0"/>
        <c:numFmt formatCode="General" sourceLinked="1"/>
        <c:majorTickMark val="out"/>
        <c:minorTickMark val="none"/>
        <c:tickLblPos val="nextTo"/>
        <c:crossAx val="55465969"/>
        <c:crossesAt val="1"/>
        <c:crossBetween val="between"/>
        <c:dispUnits/>
      </c:valAx>
      <c:spPr>
        <a:solidFill>
          <a:srgbClr val="969696"/>
        </a:solidFill>
        <a:ln w="3175">
          <a:noFill/>
        </a:ln>
      </c:spPr>
    </c:plotArea>
    <c:legend>
      <c:legendPos val="r"/>
      <c:layout>
        <c:manualLayout>
          <c:xMode val="edge"/>
          <c:yMode val="edge"/>
          <c:x val="0.8865"/>
          <c:y val="0.520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969696"/>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3</xdr:row>
      <xdr:rowOff>19050</xdr:rowOff>
    </xdr:to>
    <xdr:pic>
      <xdr:nvPicPr>
        <xdr:cNvPr id="1" name="Picture 3"/>
        <xdr:cNvPicPr preferRelativeResize="1">
          <a:picLocks noChangeAspect="1"/>
        </xdr:cNvPicPr>
      </xdr:nvPicPr>
      <xdr:blipFill>
        <a:blip r:embed="rId1"/>
        <a:stretch>
          <a:fillRect/>
        </a:stretch>
      </xdr:blipFill>
      <xdr:spPr>
        <a:xfrm>
          <a:off x="0" y="0"/>
          <a:ext cx="7962900" cy="504825"/>
        </a:xfrm>
        <a:prstGeom prst="rect">
          <a:avLst/>
        </a:prstGeom>
        <a:noFill/>
        <a:ln w="9525" cmpd="sng">
          <a:noFill/>
        </a:ln>
      </xdr:spPr>
    </xdr:pic>
    <xdr:clientData/>
  </xdr:twoCellAnchor>
  <xdr:oneCellAnchor>
    <xdr:from>
      <xdr:col>2</xdr:col>
      <xdr:colOff>371475</xdr:colOff>
      <xdr:row>65</xdr:row>
      <xdr:rowOff>38100</xdr:rowOff>
    </xdr:from>
    <xdr:ext cx="95250" cy="219075"/>
    <xdr:sp>
      <xdr:nvSpPr>
        <xdr:cNvPr id="2" name="TextBox 4"/>
        <xdr:cNvSpPr txBox="1">
          <a:spLocks noChangeArrowheads="1"/>
        </xdr:cNvSpPr>
      </xdr:nvSpPr>
      <xdr:spPr>
        <a:xfrm>
          <a:off x="4019550" y="1078230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190500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5610225" cy="50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571500</xdr:colOff>
      <xdr:row>3</xdr:row>
      <xdr:rowOff>19050</xdr:rowOff>
    </xdr:to>
    <xdr:pic>
      <xdr:nvPicPr>
        <xdr:cNvPr id="1" name="Picture 11"/>
        <xdr:cNvPicPr preferRelativeResize="1">
          <a:picLocks noChangeAspect="1"/>
        </xdr:cNvPicPr>
      </xdr:nvPicPr>
      <xdr:blipFill>
        <a:blip r:embed="rId1"/>
        <a:stretch>
          <a:fillRect/>
        </a:stretch>
      </xdr:blipFill>
      <xdr:spPr>
        <a:xfrm>
          <a:off x="0" y="0"/>
          <a:ext cx="6448425" cy="504825"/>
        </a:xfrm>
        <a:prstGeom prst="rect">
          <a:avLst/>
        </a:prstGeom>
        <a:noFill/>
        <a:ln w="9525" cmpd="sng">
          <a:noFill/>
        </a:ln>
      </xdr:spPr>
    </xdr:pic>
    <xdr:clientData/>
  </xdr:twoCellAnchor>
  <xdr:twoCellAnchor>
    <xdr:from>
      <xdr:col>1</xdr:col>
      <xdr:colOff>9525</xdr:colOff>
      <xdr:row>35</xdr:row>
      <xdr:rowOff>95250</xdr:rowOff>
    </xdr:from>
    <xdr:to>
      <xdr:col>7</xdr:col>
      <xdr:colOff>628650</xdr:colOff>
      <xdr:row>54</xdr:row>
      <xdr:rowOff>133350</xdr:rowOff>
    </xdr:to>
    <xdr:graphicFrame>
      <xdr:nvGraphicFramePr>
        <xdr:cNvPr id="2" name="Chart 12"/>
        <xdr:cNvGraphicFramePr/>
      </xdr:nvGraphicFramePr>
      <xdr:xfrm>
        <a:off x="3295650" y="6105525"/>
        <a:ext cx="5867400" cy="31146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247650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7534275" cy="504825"/>
        </a:xfrm>
        <a:prstGeom prst="rect">
          <a:avLst/>
        </a:prstGeom>
        <a:noFill/>
        <a:ln w="9525" cmpd="sng">
          <a:noFill/>
        </a:ln>
      </xdr:spPr>
    </xdr:pic>
    <xdr:clientData/>
  </xdr:twoCellAnchor>
  <xdr:twoCellAnchor>
    <xdr:from>
      <xdr:col>5</xdr:col>
      <xdr:colOff>838200</xdr:colOff>
      <xdr:row>43</xdr:row>
      <xdr:rowOff>28575</xdr:rowOff>
    </xdr:from>
    <xdr:to>
      <xdr:col>7</xdr:col>
      <xdr:colOff>114300</xdr:colOff>
      <xdr:row>45</xdr:row>
      <xdr:rowOff>133350</xdr:rowOff>
    </xdr:to>
    <xdr:sp>
      <xdr:nvSpPr>
        <xdr:cNvPr id="2" name="AutoShape 3"/>
        <xdr:cNvSpPr>
          <a:spLocks/>
        </xdr:cNvSpPr>
      </xdr:nvSpPr>
      <xdr:spPr>
        <a:xfrm>
          <a:off x="8124825" y="7048500"/>
          <a:ext cx="1085850" cy="495300"/>
        </a:xfrm>
        <a:prstGeom prst="flowChartTerminator">
          <a:avLst/>
        </a:prstGeom>
        <a:solidFill>
          <a:srgbClr val="808080"/>
        </a:solidFill>
        <a:ln w="12700" cmpd="sng">
          <a:solidFill>
            <a:srgbClr val="000000"/>
          </a:solidFill>
          <a:headEnd type="none"/>
          <a:tailEnd type="none"/>
        </a:ln>
      </xdr:spPr>
      <xdr:txBody>
        <a:bodyPr vertOverflow="clip" wrap="square"/>
        <a:p>
          <a:pPr algn="ctr">
            <a:defRPr/>
          </a:pPr>
          <a:r>
            <a:rPr lang="en-US" cap="none" sz="1000" b="1" i="0" u="none" baseline="0">
              <a:solidFill>
                <a:srgbClr val="FFFF00"/>
              </a:solidFill>
              <a:latin typeface="Arial"/>
              <a:ea typeface="Arial"/>
              <a:cs typeface="Arial"/>
            </a:rPr>
            <a:t>PAY BACK</a:t>
          </a:r>
        </a:p>
      </xdr:txBody>
    </xdr:sp>
    <xdr:clientData/>
  </xdr:twoCellAnchor>
  <xdr:twoCellAnchor>
    <xdr:from>
      <xdr:col>6</xdr:col>
      <xdr:colOff>390525</xdr:colOff>
      <xdr:row>41</xdr:row>
      <xdr:rowOff>38100</xdr:rowOff>
    </xdr:from>
    <xdr:to>
      <xdr:col>6</xdr:col>
      <xdr:colOff>390525</xdr:colOff>
      <xdr:row>42</xdr:row>
      <xdr:rowOff>123825</xdr:rowOff>
    </xdr:to>
    <xdr:sp>
      <xdr:nvSpPr>
        <xdr:cNvPr id="3" name="Line 9"/>
        <xdr:cNvSpPr>
          <a:spLocks/>
        </xdr:cNvSpPr>
      </xdr:nvSpPr>
      <xdr:spPr>
        <a:xfrm>
          <a:off x="8582025" y="66960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3057525</xdr:colOff>
      <xdr:row>71</xdr:row>
      <xdr:rowOff>142875</xdr:rowOff>
    </xdr:from>
    <xdr:to>
      <xdr:col>6</xdr:col>
      <xdr:colOff>133350</xdr:colOff>
      <xdr:row>92</xdr:row>
      <xdr:rowOff>9525</xdr:rowOff>
    </xdr:to>
    <xdr:graphicFrame>
      <xdr:nvGraphicFramePr>
        <xdr:cNvPr id="4" name="Chart 10"/>
        <xdr:cNvGraphicFramePr/>
      </xdr:nvGraphicFramePr>
      <xdr:xfrm>
        <a:off x="3057525" y="11782425"/>
        <a:ext cx="5267325" cy="3267075"/>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52</xdr:row>
      <xdr:rowOff>38100</xdr:rowOff>
    </xdr:from>
    <xdr:to>
      <xdr:col>2</xdr:col>
      <xdr:colOff>57150</xdr:colOff>
      <xdr:row>70</xdr:row>
      <xdr:rowOff>95250</xdr:rowOff>
    </xdr:to>
    <xdr:graphicFrame>
      <xdr:nvGraphicFramePr>
        <xdr:cNvPr id="5" name="Chart 11"/>
        <xdr:cNvGraphicFramePr/>
      </xdr:nvGraphicFramePr>
      <xdr:xfrm>
        <a:off x="171450" y="8610600"/>
        <a:ext cx="4457700" cy="2962275"/>
      </xdr:xfrm>
      <a:graphic>
        <a:graphicData uri="http://schemas.openxmlformats.org/drawingml/2006/chart">
          <c:chart xmlns:c="http://schemas.openxmlformats.org/drawingml/2006/chart" r:id="rId3"/>
        </a:graphicData>
      </a:graphic>
    </xdr:graphicFrame>
    <xdr:clientData/>
  </xdr:twoCellAnchor>
  <xdr:twoCellAnchor>
    <xdr:from>
      <xdr:col>3</xdr:col>
      <xdr:colOff>285750</xdr:colOff>
      <xdr:row>52</xdr:row>
      <xdr:rowOff>57150</xdr:rowOff>
    </xdr:from>
    <xdr:to>
      <xdr:col>8</xdr:col>
      <xdr:colOff>352425</xdr:colOff>
      <xdr:row>70</xdr:row>
      <xdr:rowOff>85725</xdr:rowOff>
    </xdr:to>
    <xdr:graphicFrame>
      <xdr:nvGraphicFramePr>
        <xdr:cNvPr id="6" name="Chart 12"/>
        <xdr:cNvGraphicFramePr/>
      </xdr:nvGraphicFramePr>
      <xdr:xfrm>
        <a:off x="5762625" y="8629650"/>
        <a:ext cx="4591050" cy="29337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xdr:col>
      <xdr:colOff>704850</xdr:colOff>
      <xdr:row>3</xdr:row>
      <xdr:rowOff>19050</xdr:rowOff>
    </xdr:to>
    <xdr:pic>
      <xdr:nvPicPr>
        <xdr:cNvPr id="1" name="Picture 3"/>
        <xdr:cNvPicPr preferRelativeResize="1">
          <a:picLocks noChangeAspect="1"/>
        </xdr:cNvPicPr>
      </xdr:nvPicPr>
      <xdr:blipFill>
        <a:blip r:embed="rId1"/>
        <a:stretch>
          <a:fillRect/>
        </a:stretch>
      </xdr:blipFill>
      <xdr:spPr>
        <a:xfrm>
          <a:off x="19050" y="0"/>
          <a:ext cx="6686550" cy="504825"/>
        </a:xfrm>
        <a:prstGeom prst="rect">
          <a:avLst/>
        </a:prstGeom>
        <a:noFill/>
        <a:ln w="9525" cmpd="sng">
          <a:noFill/>
        </a:ln>
      </xdr:spPr>
    </xdr:pic>
    <xdr:clientData/>
  </xdr:twoCellAnchor>
  <xdr:twoCellAnchor>
    <xdr:from>
      <xdr:col>6</xdr:col>
      <xdr:colOff>647700</xdr:colOff>
      <xdr:row>20</xdr:row>
      <xdr:rowOff>9525</xdr:rowOff>
    </xdr:from>
    <xdr:to>
      <xdr:col>9</xdr:col>
      <xdr:colOff>228600</xdr:colOff>
      <xdr:row>22</xdr:row>
      <xdr:rowOff>161925</xdr:rowOff>
    </xdr:to>
    <xdr:sp>
      <xdr:nvSpPr>
        <xdr:cNvPr id="2" name="Rectangle 4"/>
        <xdr:cNvSpPr>
          <a:spLocks/>
        </xdr:cNvSpPr>
      </xdr:nvSpPr>
      <xdr:spPr>
        <a:xfrm>
          <a:off x="7353300" y="4295775"/>
          <a:ext cx="2028825" cy="6096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para este calculo se tuvo en cuenta la producción de 288 plantas</a:t>
          </a:r>
          <a:r>
            <a:rPr lang="en-US" cap="none" sz="1000" b="0" i="0" u="none" baseline="0">
              <a:solidFill>
                <a:srgbClr val="FFFF00"/>
              </a:solidFill>
              <a:latin typeface="Arial"/>
              <a:ea typeface="Arial"/>
              <a:cs typeface="Arial"/>
            </a:rPr>
            <a:t>
</a:t>
          </a:r>
        </a:p>
      </xdr:txBody>
    </xdr:sp>
    <xdr:clientData/>
  </xdr:twoCellAnchor>
  <xdr:twoCellAnchor>
    <xdr:from>
      <xdr:col>6</xdr:col>
      <xdr:colOff>47625</xdr:colOff>
      <xdr:row>21</xdr:row>
      <xdr:rowOff>76200</xdr:rowOff>
    </xdr:from>
    <xdr:to>
      <xdr:col>6</xdr:col>
      <xdr:colOff>552450</xdr:colOff>
      <xdr:row>21</xdr:row>
      <xdr:rowOff>76200</xdr:rowOff>
    </xdr:to>
    <xdr:sp>
      <xdr:nvSpPr>
        <xdr:cNvPr id="3" name="Line 5"/>
        <xdr:cNvSpPr>
          <a:spLocks/>
        </xdr:cNvSpPr>
      </xdr:nvSpPr>
      <xdr:spPr>
        <a:xfrm flipH="1">
          <a:off x="6753225" y="45910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31</xdr:row>
      <xdr:rowOff>190500</xdr:rowOff>
    </xdr:from>
    <xdr:to>
      <xdr:col>9</xdr:col>
      <xdr:colOff>276225</xdr:colOff>
      <xdr:row>36</xdr:row>
      <xdr:rowOff>9525</xdr:rowOff>
    </xdr:to>
    <xdr:sp>
      <xdr:nvSpPr>
        <xdr:cNvPr id="4" name="Rectangle 6"/>
        <xdr:cNvSpPr>
          <a:spLocks/>
        </xdr:cNvSpPr>
      </xdr:nvSpPr>
      <xdr:spPr>
        <a:xfrm>
          <a:off x="7572375" y="6991350"/>
          <a:ext cx="1857375" cy="971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para este calculo se tuvo en cuenta la depreciación anual para calcular la depreciación en 30 días  de proceso productivo para producir 288 plantas.</a:t>
          </a:r>
          <a:r>
            <a:rPr lang="en-US" cap="none" sz="1000" b="0" i="0" u="none" baseline="0">
              <a:solidFill>
                <a:srgbClr val="FFFF00"/>
              </a:solidFill>
              <a:latin typeface="Arial"/>
              <a:ea typeface="Arial"/>
              <a:cs typeface="Arial"/>
            </a:rPr>
            <a:t>
</a:t>
          </a:r>
        </a:p>
      </xdr:txBody>
    </xdr:sp>
    <xdr:clientData/>
  </xdr:twoCellAnchor>
  <xdr:twoCellAnchor>
    <xdr:from>
      <xdr:col>6</xdr:col>
      <xdr:colOff>190500</xdr:colOff>
      <xdr:row>33</xdr:row>
      <xdr:rowOff>76200</xdr:rowOff>
    </xdr:from>
    <xdr:to>
      <xdr:col>6</xdr:col>
      <xdr:colOff>647700</xdr:colOff>
      <xdr:row>33</xdr:row>
      <xdr:rowOff>76200</xdr:rowOff>
    </xdr:to>
    <xdr:sp>
      <xdr:nvSpPr>
        <xdr:cNvPr id="5" name="Line 7"/>
        <xdr:cNvSpPr>
          <a:spLocks/>
        </xdr:cNvSpPr>
      </xdr:nvSpPr>
      <xdr:spPr>
        <a:xfrm flipH="1">
          <a:off x="6896100" y="73056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60</xdr:row>
      <xdr:rowOff>190500</xdr:rowOff>
    </xdr:from>
    <xdr:to>
      <xdr:col>4</xdr:col>
      <xdr:colOff>361950</xdr:colOff>
      <xdr:row>71</xdr:row>
      <xdr:rowOff>209550</xdr:rowOff>
    </xdr:to>
    <xdr:graphicFrame>
      <xdr:nvGraphicFramePr>
        <xdr:cNvPr id="6" name="Chart 12"/>
        <xdr:cNvGraphicFramePr/>
      </xdr:nvGraphicFramePr>
      <xdr:xfrm>
        <a:off x="390525" y="13782675"/>
        <a:ext cx="5153025" cy="25336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44</xdr:row>
      <xdr:rowOff>104775</xdr:rowOff>
    </xdr:from>
    <xdr:to>
      <xdr:col>6</xdr:col>
      <xdr:colOff>552450</xdr:colOff>
      <xdr:row>44</xdr:row>
      <xdr:rowOff>104775</xdr:rowOff>
    </xdr:to>
    <xdr:sp>
      <xdr:nvSpPr>
        <xdr:cNvPr id="7" name="Line 19"/>
        <xdr:cNvSpPr>
          <a:spLocks/>
        </xdr:cNvSpPr>
      </xdr:nvSpPr>
      <xdr:spPr>
        <a:xfrm flipH="1">
          <a:off x="6772275" y="100107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43</xdr:row>
      <xdr:rowOff>38100</xdr:rowOff>
    </xdr:from>
    <xdr:to>
      <xdr:col>9</xdr:col>
      <xdr:colOff>57150</xdr:colOff>
      <xdr:row>45</xdr:row>
      <xdr:rowOff>171450</xdr:rowOff>
    </xdr:to>
    <xdr:sp>
      <xdr:nvSpPr>
        <xdr:cNvPr id="8" name="Rectangle 20"/>
        <xdr:cNvSpPr>
          <a:spLocks/>
        </xdr:cNvSpPr>
      </xdr:nvSpPr>
      <xdr:spPr>
        <a:xfrm>
          <a:off x="7286625" y="9715500"/>
          <a:ext cx="1924050" cy="590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Para este calculo, se tuvo en cuenta la produccion diaria de 288 plantas</a:t>
          </a:r>
        </a:p>
      </xdr:txBody>
    </xdr:sp>
    <xdr:clientData/>
  </xdr:twoCellAnchor>
  <xdr:twoCellAnchor>
    <xdr:from>
      <xdr:col>5</xdr:col>
      <xdr:colOff>533400</xdr:colOff>
      <xdr:row>53</xdr:row>
      <xdr:rowOff>219075</xdr:rowOff>
    </xdr:from>
    <xdr:to>
      <xdr:col>6</xdr:col>
      <xdr:colOff>504825</xdr:colOff>
      <xdr:row>53</xdr:row>
      <xdr:rowOff>219075</xdr:rowOff>
    </xdr:to>
    <xdr:sp>
      <xdr:nvSpPr>
        <xdr:cNvPr id="9" name="Line 21"/>
        <xdr:cNvSpPr>
          <a:spLocks/>
        </xdr:cNvSpPr>
      </xdr:nvSpPr>
      <xdr:spPr>
        <a:xfrm flipH="1">
          <a:off x="6534150" y="1219200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52</xdr:row>
      <xdr:rowOff>152400</xdr:rowOff>
    </xdr:from>
    <xdr:to>
      <xdr:col>8</xdr:col>
      <xdr:colOff>723900</xdr:colOff>
      <xdr:row>55</xdr:row>
      <xdr:rowOff>57150</xdr:rowOff>
    </xdr:to>
    <xdr:sp>
      <xdr:nvSpPr>
        <xdr:cNvPr id="10" name="Rectangle 29"/>
        <xdr:cNvSpPr>
          <a:spLocks/>
        </xdr:cNvSpPr>
      </xdr:nvSpPr>
      <xdr:spPr>
        <a:xfrm>
          <a:off x="7191375" y="11896725"/>
          <a:ext cx="1924050" cy="590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Para este calculo, se tuvo en cuenta la produccion diaria de 288 plantas</a:t>
          </a:r>
        </a:p>
      </xdr:txBody>
    </xdr:sp>
    <xdr:clientData/>
  </xdr:twoCellAnchor>
  <xdr:twoCellAnchor>
    <xdr:from>
      <xdr:col>6</xdr:col>
      <xdr:colOff>590550</xdr:colOff>
      <xdr:row>45</xdr:row>
      <xdr:rowOff>219075</xdr:rowOff>
    </xdr:from>
    <xdr:to>
      <xdr:col>9</xdr:col>
      <xdr:colOff>104775</xdr:colOff>
      <xdr:row>48</xdr:row>
      <xdr:rowOff>57150</xdr:rowOff>
    </xdr:to>
    <xdr:sp>
      <xdr:nvSpPr>
        <xdr:cNvPr id="11" name="AutoShape 30"/>
        <xdr:cNvSpPr>
          <a:spLocks/>
        </xdr:cNvSpPr>
      </xdr:nvSpPr>
      <xdr:spPr>
        <a:xfrm>
          <a:off x="7296150" y="10353675"/>
          <a:ext cx="1962150" cy="533400"/>
        </a:xfrm>
        <a:prstGeom prst="borderCallout2">
          <a:avLst>
            <a:gd name="adj1" fmla="val -116018"/>
            <a:gd name="adj2" fmla="val -60712"/>
            <a:gd name="adj3" fmla="val -70388"/>
            <a:gd name="adj4" fmla="val -28569"/>
            <a:gd name="adj5" fmla="val -53884"/>
            <a:gd name="adj6" fmla="val -28569"/>
            <a:gd name="adj7" fmla="val -116504"/>
            <a:gd name="adj8" fmla="val -83930"/>
          </a:avLst>
        </a:prstGeom>
        <a:solidFill>
          <a:srgbClr val="C0C0C0"/>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Al ser ventas a Responsables Inscriptos y la producción se realiza en Córdoba, la actividad está exenta. 
</a:t>
          </a:r>
          <a:r>
            <a:rPr lang="en-US" cap="none" sz="1000" b="0" i="0" u="none" baseline="0">
              <a:solidFill>
                <a:srgbClr val="FF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266700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561022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6</xdr:row>
      <xdr:rowOff>38100</xdr:rowOff>
    </xdr:from>
    <xdr:to>
      <xdr:col>8</xdr:col>
      <xdr:colOff>742950</xdr:colOff>
      <xdr:row>22</xdr:row>
      <xdr:rowOff>0</xdr:rowOff>
    </xdr:to>
    <xdr:graphicFrame>
      <xdr:nvGraphicFramePr>
        <xdr:cNvPr id="1" name="Chart 3"/>
        <xdr:cNvGraphicFramePr/>
      </xdr:nvGraphicFramePr>
      <xdr:xfrm>
        <a:off x="7543800" y="1209675"/>
        <a:ext cx="3819525" cy="2552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xdr:col>
      <xdr:colOff>371475</xdr:colOff>
      <xdr:row>3</xdr:row>
      <xdr:rowOff>19050</xdr:rowOff>
    </xdr:to>
    <xdr:pic>
      <xdr:nvPicPr>
        <xdr:cNvPr id="2" name="Picture 5"/>
        <xdr:cNvPicPr preferRelativeResize="1">
          <a:picLocks noChangeAspect="1"/>
        </xdr:cNvPicPr>
      </xdr:nvPicPr>
      <xdr:blipFill>
        <a:blip r:embed="rId2"/>
        <a:stretch>
          <a:fillRect/>
        </a:stretch>
      </xdr:blipFill>
      <xdr:spPr>
        <a:xfrm>
          <a:off x="0" y="0"/>
          <a:ext cx="56102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133350</xdr:rowOff>
    </xdr:from>
    <xdr:to>
      <xdr:col>3</xdr:col>
      <xdr:colOff>295275</xdr:colOff>
      <xdr:row>3</xdr:row>
      <xdr:rowOff>152400</xdr:rowOff>
    </xdr:to>
    <xdr:pic>
      <xdr:nvPicPr>
        <xdr:cNvPr id="1" name="Picture 1"/>
        <xdr:cNvPicPr preferRelativeResize="1">
          <a:picLocks noChangeAspect="1"/>
        </xdr:cNvPicPr>
      </xdr:nvPicPr>
      <xdr:blipFill>
        <a:blip r:embed="rId1"/>
        <a:stretch>
          <a:fillRect/>
        </a:stretch>
      </xdr:blipFill>
      <xdr:spPr>
        <a:xfrm>
          <a:off x="9525" y="133350"/>
          <a:ext cx="596265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2028825</xdr:colOff>
      <xdr:row>21</xdr:row>
      <xdr:rowOff>76200</xdr:rowOff>
    </xdr:from>
    <xdr:to>
      <xdr:col>5</xdr:col>
      <xdr:colOff>438150</xdr:colOff>
      <xdr:row>37</xdr:row>
      <xdr:rowOff>19050</xdr:rowOff>
    </xdr:to>
    <xdr:graphicFrame>
      <xdr:nvGraphicFramePr>
        <xdr:cNvPr id="1" name="Chart 1"/>
        <xdr:cNvGraphicFramePr/>
      </xdr:nvGraphicFramePr>
      <xdr:xfrm>
        <a:off x="2581275" y="3476625"/>
        <a:ext cx="4667250" cy="2533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xdr:col>
      <xdr:colOff>762000</xdr:colOff>
      <xdr:row>3</xdr:row>
      <xdr:rowOff>19050</xdr:rowOff>
    </xdr:to>
    <xdr:pic>
      <xdr:nvPicPr>
        <xdr:cNvPr id="2" name="Picture 2"/>
        <xdr:cNvPicPr preferRelativeResize="1">
          <a:picLocks noChangeAspect="1"/>
        </xdr:cNvPicPr>
      </xdr:nvPicPr>
      <xdr:blipFill>
        <a:blip r:embed="rId2"/>
        <a:stretch>
          <a:fillRect/>
        </a:stretch>
      </xdr:blipFill>
      <xdr:spPr>
        <a:xfrm>
          <a:off x="0" y="0"/>
          <a:ext cx="561022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371475</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7267575" cy="504825"/>
        </a:xfrm>
        <a:prstGeom prst="rect">
          <a:avLst/>
        </a:prstGeom>
        <a:noFill/>
        <a:ln w="9525" cmpd="sng">
          <a:noFill/>
        </a:ln>
      </xdr:spPr>
    </xdr:pic>
    <xdr:clientData/>
  </xdr:twoCellAnchor>
  <xdr:twoCellAnchor>
    <xdr:from>
      <xdr:col>0</xdr:col>
      <xdr:colOff>1647825</xdr:colOff>
      <xdr:row>17</xdr:row>
      <xdr:rowOff>123825</xdr:rowOff>
    </xdr:from>
    <xdr:to>
      <xdr:col>4</xdr:col>
      <xdr:colOff>1638300</xdr:colOff>
      <xdr:row>23</xdr:row>
      <xdr:rowOff>28575</xdr:rowOff>
    </xdr:to>
    <xdr:sp>
      <xdr:nvSpPr>
        <xdr:cNvPr id="2" name="Rectangle 2"/>
        <xdr:cNvSpPr>
          <a:spLocks/>
        </xdr:cNvSpPr>
      </xdr:nvSpPr>
      <xdr:spPr>
        <a:xfrm>
          <a:off x="1647825" y="2876550"/>
          <a:ext cx="5229225" cy="8763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La Producción de frutillas y lechugas hidropónicas, pertenecen a la misma firma HIDROPÓNICOS DEL SUR SRL. Pero con el objeto de realizar los análisis por productos separados, hemos diferenciado la necesidad de empleados. La lechuga precisa de una carga fija de personal, no asi la producción de frutillas.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685800</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7410450" cy="504825"/>
        </a:xfrm>
        <a:prstGeom prst="rect">
          <a:avLst/>
        </a:prstGeom>
        <a:noFill/>
        <a:ln w="9525" cmpd="sng">
          <a:noFill/>
        </a:ln>
      </xdr:spPr>
    </xdr:pic>
    <xdr:clientData/>
  </xdr:twoCellAnchor>
  <xdr:twoCellAnchor>
    <xdr:from>
      <xdr:col>4</xdr:col>
      <xdr:colOff>28575</xdr:colOff>
      <xdr:row>22</xdr:row>
      <xdr:rowOff>0</xdr:rowOff>
    </xdr:from>
    <xdr:to>
      <xdr:col>4</xdr:col>
      <xdr:colOff>1485900</xdr:colOff>
      <xdr:row>27</xdr:row>
      <xdr:rowOff>19050</xdr:rowOff>
    </xdr:to>
    <xdr:sp>
      <xdr:nvSpPr>
        <xdr:cNvPr id="2" name="Rectangle 2"/>
        <xdr:cNvSpPr>
          <a:spLocks/>
        </xdr:cNvSpPr>
      </xdr:nvSpPr>
      <xdr:spPr>
        <a:xfrm>
          <a:off x="4953000" y="3562350"/>
          <a:ext cx="1457325" cy="8286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Este cálculo fue realizado solo con fines prácticos para poder realizar otros cálculos.
</a:t>
          </a:r>
        </a:p>
      </xdr:txBody>
    </xdr:sp>
    <xdr:clientData/>
  </xdr:twoCellAnchor>
  <xdr:twoCellAnchor>
    <xdr:from>
      <xdr:col>4</xdr:col>
      <xdr:colOff>895350</xdr:colOff>
      <xdr:row>20</xdr:row>
      <xdr:rowOff>76200</xdr:rowOff>
    </xdr:from>
    <xdr:to>
      <xdr:col>4</xdr:col>
      <xdr:colOff>895350</xdr:colOff>
      <xdr:row>21</xdr:row>
      <xdr:rowOff>104775</xdr:rowOff>
    </xdr:to>
    <xdr:sp>
      <xdr:nvSpPr>
        <xdr:cNvPr id="3" name="Line 3"/>
        <xdr:cNvSpPr>
          <a:spLocks/>
        </xdr:cNvSpPr>
      </xdr:nvSpPr>
      <xdr:spPr>
        <a:xfrm flipV="1">
          <a:off x="5819775" y="33147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9525</xdr:colOff>
      <xdr:row>3</xdr:row>
      <xdr:rowOff>19050</xdr:rowOff>
    </xdr:to>
    <xdr:pic>
      <xdr:nvPicPr>
        <xdr:cNvPr id="1" name="Picture 1"/>
        <xdr:cNvPicPr preferRelativeResize="1">
          <a:picLocks noChangeAspect="1"/>
        </xdr:cNvPicPr>
      </xdr:nvPicPr>
      <xdr:blipFill>
        <a:blip r:embed="rId1"/>
        <a:stretch>
          <a:fillRect/>
        </a:stretch>
      </xdr:blipFill>
      <xdr:spPr>
        <a:xfrm>
          <a:off x="0" y="0"/>
          <a:ext cx="33147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SIS\tesis%2003-11-2010\anexo%20excel%20md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o Invernadero"/>
      <sheetName val="costos inv, cont y almac"/>
      <sheetName val="costos sist cond y rec de agua"/>
      <sheetName val="costos del sist de drenaje"/>
      <sheetName val="costo sist electrico"/>
      <sheetName val="Sist de Calefacción"/>
      <sheetName val="costo constr bodega y baño"/>
      <sheetName val="costo constr fosa"/>
      <sheetName val="1"/>
    </sheetNames>
    <sheetDataSet>
      <sheetData sheetId="0">
        <row r="2">
          <cell r="B2">
            <v>1597.5</v>
          </cell>
        </row>
        <row r="9">
          <cell r="D9">
            <v>1539.99</v>
          </cell>
        </row>
      </sheetData>
      <sheetData sheetId="1">
        <row r="9">
          <cell r="F9">
            <v>1305.72</v>
          </cell>
        </row>
        <row r="21">
          <cell r="F21">
            <v>348.38</v>
          </cell>
        </row>
        <row r="78">
          <cell r="F78">
            <v>6841.25</v>
          </cell>
        </row>
        <row r="79">
          <cell r="F79">
            <v>2700</v>
          </cell>
        </row>
        <row r="90">
          <cell r="F90">
            <v>4319.82</v>
          </cell>
        </row>
        <row r="110">
          <cell r="F110">
            <v>185.808</v>
          </cell>
        </row>
        <row r="113">
          <cell r="F113">
            <v>900</v>
          </cell>
        </row>
      </sheetData>
      <sheetData sheetId="2">
        <row r="23">
          <cell r="D23">
            <v>606.2700000000001</v>
          </cell>
        </row>
        <row r="42">
          <cell r="A42">
            <v>368.74</v>
          </cell>
        </row>
      </sheetData>
      <sheetData sheetId="3">
        <row r="14">
          <cell r="D14">
            <v>1801.6040000000003</v>
          </cell>
        </row>
        <row r="15">
          <cell r="D15">
            <v>360</v>
          </cell>
        </row>
      </sheetData>
      <sheetData sheetId="4">
        <row r="14">
          <cell r="D14">
            <v>478.15</v>
          </cell>
        </row>
        <row r="15">
          <cell r="D15">
            <v>810</v>
          </cell>
        </row>
        <row r="16">
          <cell r="D16">
            <v>540</v>
          </cell>
        </row>
      </sheetData>
      <sheetData sheetId="5">
        <row r="6">
          <cell r="E6">
            <v>20</v>
          </cell>
        </row>
        <row r="8">
          <cell r="E8">
            <v>10985.26582278481</v>
          </cell>
        </row>
        <row r="9">
          <cell r="L9">
            <v>1365</v>
          </cell>
        </row>
      </sheetData>
      <sheetData sheetId="6">
        <row r="16">
          <cell r="E16">
            <v>1031.0500000000002</v>
          </cell>
        </row>
        <row r="17">
          <cell r="E17">
            <v>540</v>
          </cell>
        </row>
      </sheetData>
      <sheetData sheetId="7">
        <row r="7">
          <cell r="E7">
            <v>409.79999999999995</v>
          </cell>
        </row>
        <row r="8">
          <cell r="E8">
            <v>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s.wikipedia.org/" TargetMode="External" /><Relationship Id="rId2" Type="http://schemas.openxmlformats.org/officeDocument/2006/relationships/hyperlink" Target="http://es.wikipedia.org/" TargetMode="External" /><Relationship Id="rId3" Type="http://schemas.openxmlformats.org/officeDocument/2006/relationships/hyperlink" Target="http://es.wikipedia.org/"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5:K68"/>
  <sheetViews>
    <sheetView zoomScale="80" zoomScaleNormal="80" workbookViewId="0" topLeftCell="A1">
      <selection activeCell="G68" sqref="A1:G68"/>
    </sheetView>
  </sheetViews>
  <sheetFormatPr defaultColWidth="11.421875" defaultRowHeight="12.75"/>
  <cols>
    <col min="1" max="1" width="37.57421875" style="0" customWidth="1"/>
    <col min="2" max="2" width="17.140625" style="0" bestFit="1" customWidth="1"/>
    <col min="4" max="4" width="20.421875" style="0" customWidth="1"/>
    <col min="5" max="5" width="12.421875" style="0" bestFit="1" customWidth="1"/>
    <col min="6" max="6" width="20.421875" style="0" customWidth="1"/>
    <col min="7" max="7" width="17.00390625" style="0" bestFit="1" customWidth="1"/>
  </cols>
  <sheetData>
    <row r="5" spans="1:10" ht="20.25">
      <c r="A5" s="156" t="s">
        <v>194</v>
      </c>
      <c r="B5" s="157"/>
      <c r="C5" s="157"/>
      <c r="D5" s="157"/>
      <c r="E5" s="131"/>
      <c r="F5" s="157"/>
      <c r="G5" s="158"/>
      <c r="H5" s="102"/>
      <c r="I5" s="102"/>
      <c r="J5" s="102"/>
    </row>
    <row r="6" spans="5:10" ht="12.75">
      <c r="E6" s="102"/>
      <c r="F6">
        <v>0.21</v>
      </c>
      <c r="G6" s="102"/>
      <c r="H6" s="102"/>
      <c r="I6" s="102"/>
      <c r="J6" s="102"/>
    </row>
    <row r="7" spans="1:11" ht="12.75">
      <c r="A7" s="159" t="s">
        <v>195</v>
      </c>
      <c r="B7" s="159" t="s">
        <v>196</v>
      </c>
      <c r="C7" s="159" t="s">
        <v>197</v>
      </c>
      <c r="D7" s="159" t="s">
        <v>198</v>
      </c>
      <c r="E7" s="159" t="s">
        <v>96</v>
      </c>
      <c r="F7" s="159" t="s">
        <v>94</v>
      </c>
      <c r="G7" s="159" t="s">
        <v>226</v>
      </c>
      <c r="H7" s="6"/>
      <c r="I7" s="6"/>
      <c r="J7" s="6"/>
      <c r="K7" s="6"/>
    </row>
    <row r="8" spans="1:11" ht="12.75">
      <c r="A8" s="95" t="s">
        <v>199</v>
      </c>
      <c r="B8" s="2"/>
      <c r="C8" s="103"/>
      <c r="D8" s="103"/>
      <c r="E8" s="103"/>
      <c r="F8" s="103"/>
      <c r="G8" s="2"/>
      <c r="H8" s="6"/>
      <c r="I8" s="6"/>
      <c r="J8" s="6"/>
      <c r="K8" s="6"/>
    </row>
    <row r="9" spans="1:11" ht="12.75">
      <c r="A9" s="96" t="s">
        <v>200</v>
      </c>
      <c r="B9" s="2">
        <v>1</v>
      </c>
      <c r="C9" s="103" t="s">
        <v>201</v>
      </c>
      <c r="D9" s="217">
        <v>12000</v>
      </c>
      <c r="E9" s="217">
        <f>+D9*B9</f>
        <v>12000</v>
      </c>
      <c r="F9" s="217">
        <f>+E9*$F$6</f>
        <v>2520</v>
      </c>
      <c r="G9" s="217">
        <f>+F9+E9</f>
        <v>14520</v>
      </c>
      <c r="H9" s="6"/>
      <c r="I9" s="6"/>
      <c r="J9" s="6"/>
      <c r="K9" s="6"/>
    </row>
    <row r="10" spans="1:11" ht="12.75">
      <c r="A10" s="96" t="s">
        <v>202</v>
      </c>
      <c r="B10" s="2">
        <v>10</v>
      </c>
      <c r="C10" s="103" t="str">
        <f>+C9</f>
        <v>Unid.</v>
      </c>
      <c r="D10" s="217">
        <v>100</v>
      </c>
      <c r="E10" s="217">
        <f aca="true" t="shared" si="0" ref="E10:E27">+D10*B10</f>
        <v>1000</v>
      </c>
      <c r="F10" s="217">
        <f aca="true" t="shared" si="1" ref="F10:F27">+E10*$F$6</f>
        <v>210</v>
      </c>
      <c r="G10" s="217">
        <f aca="true" t="shared" si="2" ref="G10:G26">+F10+E10</f>
        <v>1210</v>
      </c>
      <c r="H10" s="6"/>
      <c r="I10" s="6"/>
      <c r="J10" s="6"/>
      <c r="K10" s="6"/>
    </row>
    <row r="11" spans="1:11" ht="12.75">
      <c r="A11" s="96" t="s">
        <v>203</v>
      </c>
      <c r="B11" s="2">
        <v>30</v>
      </c>
      <c r="C11" s="103" t="str">
        <f>+C10</f>
        <v>Unid.</v>
      </c>
      <c r="D11" s="217">
        <v>2.5</v>
      </c>
      <c r="E11" s="217">
        <f t="shared" si="0"/>
        <v>75</v>
      </c>
      <c r="F11" s="217">
        <f t="shared" si="1"/>
        <v>15.75</v>
      </c>
      <c r="G11" s="217">
        <f t="shared" si="2"/>
        <v>90.75</v>
      </c>
      <c r="H11" s="6"/>
      <c r="I11" s="6"/>
      <c r="J11" s="6"/>
      <c r="K11" s="6"/>
    </row>
    <row r="12" spans="1:11" ht="12.75">
      <c r="A12" s="96" t="s">
        <v>204</v>
      </c>
      <c r="B12" s="2">
        <v>1</v>
      </c>
      <c r="C12" s="103" t="str">
        <f>+C11</f>
        <v>Unid.</v>
      </c>
      <c r="D12" s="218">
        <f>+'[1]costos inv, cont y almac'!$F$78</f>
        <v>6841.25</v>
      </c>
      <c r="E12" s="217">
        <f t="shared" si="0"/>
        <v>6841.25</v>
      </c>
      <c r="F12" s="217">
        <f t="shared" si="1"/>
        <v>1436.6625</v>
      </c>
      <c r="G12" s="217">
        <f t="shared" si="2"/>
        <v>8277.9125</v>
      </c>
      <c r="H12" s="6"/>
      <c r="I12" s="6"/>
      <c r="J12" s="6"/>
      <c r="K12" s="6"/>
    </row>
    <row r="13" spans="1:11" ht="12.75">
      <c r="A13" s="219" t="s">
        <v>238</v>
      </c>
      <c r="B13" s="106">
        <v>13</v>
      </c>
      <c r="C13" s="107" t="s">
        <v>201</v>
      </c>
      <c r="D13" s="220">
        <v>407.4</v>
      </c>
      <c r="E13" s="217">
        <f t="shared" si="0"/>
        <v>5296.2</v>
      </c>
      <c r="F13" s="217">
        <f t="shared" si="1"/>
        <v>1112.202</v>
      </c>
      <c r="G13" s="217">
        <f t="shared" si="2"/>
        <v>6408.402</v>
      </c>
      <c r="H13" s="6"/>
      <c r="I13" s="6"/>
      <c r="J13" s="6"/>
      <c r="K13" s="6"/>
    </row>
    <row r="14" spans="1:11" ht="12.75">
      <c r="A14" s="96" t="s">
        <v>239</v>
      </c>
      <c r="B14" s="2">
        <v>20</v>
      </c>
      <c r="C14" s="103" t="s">
        <v>201</v>
      </c>
      <c r="D14" s="218">
        <v>11.29</v>
      </c>
      <c r="E14" s="217">
        <f t="shared" si="0"/>
        <v>225.79999999999998</v>
      </c>
      <c r="F14" s="217">
        <f t="shared" si="1"/>
        <v>47.41799999999999</v>
      </c>
      <c r="G14" s="217">
        <f t="shared" si="2"/>
        <v>273.21799999999996</v>
      </c>
      <c r="H14" s="6"/>
      <c r="I14" s="6"/>
      <c r="J14" s="6"/>
      <c r="K14" s="6"/>
    </row>
    <row r="15" spans="1:11" ht="12.75">
      <c r="A15" s="96" t="s">
        <v>240</v>
      </c>
      <c r="B15" s="2">
        <v>1</v>
      </c>
      <c r="C15" s="103" t="s">
        <v>201</v>
      </c>
      <c r="D15" s="218">
        <f>+'[1]costos sist cond y rec de agua'!$D$23</f>
        <v>606.2700000000001</v>
      </c>
      <c r="E15" s="217">
        <f t="shared" si="0"/>
        <v>606.2700000000001</v>
      </c>
      <c r="F15" s="217">
        <f t="shared" si="1"/>
        <v>127.31670000000001</v>
      </c>
      <c r="G15" s="217">
        <f t="shared" si="2"/>
        <v>733.5867000000001</v>
      </c>
      <c r="H15" s="6"/>
      <c r="I15" s="6"/>
      <c r="J15" s="6"/>
      <c r="K15" s="6"/>
    </row>
    <row r="16" spans="1:11" ht="12.75">
      <c r="A16" s="96" t="s">
        <v>241</v>
      </c>
      <c r="B16" s="2">
        <v>1</v>
      </c>
      <c r="C16" s="103" t="s">
        <v>201</v>
      </c>
      <c r="D16" s="218">
        <f>+'[1]costos sist cond y rec de agua'!$A$42</f>
        <v>368.74</v>
      </c>
      <c r="E16" s="217">
        <f t="shared" si="0"/>
        <v>368.74</v>
      </c>
      <c r="F16" s="217">
        <f t="shared" si="1"/>
        <v>77.4354</v>
      </c>
      <c r="G16" s="217">
        <f t="shared" si="2"/>
        <v>446.1754</v>
      </c>
      <c r="H16" s="6"/>
      <c r="I16" s="6"/>
      <c r="J16" s="6"/>
      <c r="K16" s="6"/>
    </row>
    <row r="17" spans="1:11" ht="12.75">
      <c r="A17" s="96" t="s">
        <v>373</v>
      </c>
      <c r="B17" s="2">
        <v>1</v>
      </c>
      <c r="C17" s="103" t="s">
        <v>201</v>
      </c>
      <c r="D17" s="218">
        <v>11000</v>
      </c>
      <c r="E17" s="217">
        <f>+D17</f>
        <v>11000</v>
      </c>
      <c r="F17" s="217">
        <f t="shared" si="1"/>
        <v>2310</v>
      </c>
      <c r="G17" s="217">
        <f t="shared" si="2"/>
        <v>13310</v>
      </c>
      <c r="H17" s="6"/>
      <c r="I17" s="6"/>
      <c r="J17" s="6"/>
      <c r="K17" s="6"/>
    </row>
    <row r="18" spans="1:11" ht="12.75">
      <c r="A18" s="96" t="s">
        <v>248</v>
      </c>
      <c r="B18" s="2">
        <v>1</v>
      </c>
      <c r="C18" s="103"/>
      <c r="D18" s="218">
        <v>3676</v>
      </c>
      <c r="E18" s="217">
        <f t="shared" si="0"/>
        <v>3676</v>
      </c>
      <c r="F18" s="217">
        <f t="shared" si="1"/>
        <v>771.9599999999999</v>
      </c>
      <c r="G18" s="217">
        <f t="shared" si="2"/>
        <v>4447.96</v>
      </c>
      <c r="H18" s="6"/>
      <c r="I18" s="6"/>
      <c r="J18" s="6"/>
      <c r="K18" s="6"/>
    </row>
    <row r="19" spans="1:11" ht="12.75">
      <c r="A19" s="96" t="s">
        <v>227</v>
      </c>
      <c r="B19" s="2">
        <v>1</v>
      </c>
      <c r="C19" s="103" t="s">
        <v>201</v>
      </c>
      <c r="D19" s="218">
        <f>+'[1]costos del sist de drenaje'!$D$14</f>
        <v>1801.6040000000003</v>
      </c>
      <c r="E19" s="217">
        <f t="shared" si="0"/>
        <v>1801.6040000000003</v>
      </c>
      <c r="F19" s="217">
        <f t="shared" si="1"/>
        <v>378.33684000000005</v>
      </c>
      <c r="G19" s="217">
        <f t="shared" si="2"/>
        <v>2179.94084</v>
      </c>
      <c r="H19" s="6"/>
      <c r="I19" s="6"/>
      <c r="J19" s="6"/>
      <c r="K19" s="6"/>
    </row>
    <row r="20" spans="1:11" ht="12.75">
      <c r="A20" s="96" t="s">
        <v>363</v>
      </c>
      <c r="B20" s="2">
        <v>1</v>
      </c>
      <c r="C20" s="103" t="s">
        <v>201</v>
      </c>
      <c r="D20" s="218">
        <v>1500</v>
      </c>
      <c r="E20" s="217">
        <f>+D20</f>
        <v>1500</v>
      </c>
      <c r="F20" s="217">
        <f t="shared" si="1"/>
        <v>315</v>
      </c>
      <c r="G20" s="217">
        <f t="shared" si="2"/>
        <v>1815</v>
      </c>
      <c r="H20" s="6"/>
      <c r="I20" s="6"/>
      <c r="J20" s="6"/>
      <c r="K20" s="6"/>
    </row>
    <row r="21" spans="1:11" ht="12.75">
      <c r="A21" s="96" t="s">
        <v>242</v>
      </c>
      <c r="B21" s="2">
        <v>1</v>
      </c>
      <c r="C21" s="103" t="s">
        <v>201</v>
      </c>
      <c r="D21" s="218">
        <f>+'[1]costo sist electrico'!$D$14</f>
        <v>478.15</v>
      </c>
      <c r="E21" s="217">
        <f t="shared" si="0"/>
        <v>478.15</v>
      </c>
      <c r="F21" s="217">
        <f t="shared" si="1"/>
        <v>100.41149999999999</v>
      </c>
      <c r="G21" s="217">
        <f t="shared" si="2"/>
        <v>578.5615</v>
      </c>
      <c r="H21" s="6"/>
      <c r="I21" s="6"/>
      <c r="J21" s="6"/>
      <c r="K21" s="6"/>
    </row>
    <row r="22" spans="1:11" ht="12.75">
      <c r="A22" s="96" t="s">
        <v>243</v>
      </c>
      <c r="B22" s="2">
        <v>1</v>
      </c>
      <c r="C22" s="103" t="s">
        <v>201</v>
      </c>
      <c r="D22" s="218">
        <f>+'[1]costo sist electrico'!$D$15</f>
        <v>810</v>
      </c>
      <c r="E22" s="217">
        <f t="shared" si="0"/>
        <v>810</v>
      </c>
      <c r="F22" s="217">
        <f t="shared" si="1"/>
        <v>170.1</v>
      </c>
      <c r="G22" s="217">
        <f t="shared" si="2"/>
        <v>980.1</v>
      </c>
      <c r="H22" s="6"/>
      <c r="I22" s="6"/>
      <c r="J22" s="6"/>
      <c r="K22" s="6"/>
    </row>
    <row r="23" spans="1:11" ht="12.75">
      <c r="A23" s="127" t="s">
        <v>228</v>
      </c>
      <c r="B23" s="4">
        <v>1</v>
      </c>
      <c r="C23" s="113" t="s">
        <v>201</v>
      </c>
      <c r="D23" s="221">
        <f>+'[1]Sist de Calefacción'!$E$8</f>
        <v>10985.26582278481</v>
      </c>
      <c r="E23" s="217">
        <f t="shared" si="0"/>
        <v>10985.26582278481</v>
      </c>
      <c r="F23" s="217"/>
      <c r="G23" s="217">
        <f t="shared" si="2"/>
        <v>10985.26582278481</v>
      </c>
      <c r="H23" s="6"/>
      <c r="I23" s="6"/>
      <c r="J23" s="6"/>
      <c r="K23" s="6"/>
    </row>
    <row r="24" spans="1:11" ht="12.75">
      <c r="A24" s="127" t="s">
        <v>229</v>
      </c>
      <c r="B24" s="4">
        <v>1</v>
      </c>
      <c r="C24" s="113" t="s">
        <v>201</v>
      </c>
      <c r="D24" s="221">
        <f>+'[1]costo constr bodega y baño'!$E$16</f>
        <v>1031.0500000000002</v>
      </c>
      <c r="E24" s="217">
        <f t="shared" si="0"/>
        <v>1031.0500000000002</v>
      </c>
      <c r="F24" s="217">
        <f t="shared" si="1"/>
        <v>216.52050000000003</v>
      </c>
      <c r="G24" s="217">
        <f t="shared" si="2"/>
        <v>1247.5705000000003</v>
      </c>
      <c r="H24" s="6"/>
      <c r="I24" s="6"/>
      <c r="J24" s="6"/>
      <c r="K24" s="6"/>
    </row>
    <row r="25" spans="1:11" ht="12.75">
      <c r="A25" s="127" t="s">
        <v>230</v>
      </c>
      <c r="B25" s="4">
        <v>1</v>
      </c>
      <c r="C25" s="113" t="s">
        <v>201</v>
      </c>
      <c r="D25" s="221">
        <f>+'[1]costo constr fosa'!$E$7</f>
        <v>409.79999999999995</v>
      </c>
      <c r="E25" s="217">
        <f t="shared" si="0"/>
        <v>409.79999999999995</v>
      </c>
      <c r="F25" s="217">
        <f t="shared" si="1"/>
        <v>86.05799999999999</v>
      </c>
      <c r="G25" s="217">
        <f t="shared" si="2"/>
        <v>495.85799999999995</v>
      </c>
      <c r="H25" s="6"/>
      <c r="I25" s="6"/>
      <c r="J25" s="6"/>
      <c r="K25" s="6"/>
    </row>
    <row r="26" spans="1:11" ht="12.75">
      <c r="A26" s="96" t="s">
        <v>236</v>
      </c>
      <c r="B26" s="2">
        <v>1</v>
      </c>
      <c r="C26" s="103" t="s">
        <v>201</v>
      </c>
      <c r="D26" s="218">
        <v>1612.5</v>
      </c>
      <c r="E26" s="217">
        <f t="shared" si="0"/>
        <v>1612.5</v>
      </c>
      <c r="F26" s="217">
        <f t="shared" si="1"/>
        <v>338.625</v>
      </c>
      <c r="G26" s="217">
        <f t="shared" si="2"/>
        <v>1951.125</v>
      </c>
      <c r="H26" s="6"/>
      <c r="I26" s="6"/>
      <c r="J26" s="6"/>
      <c r="K26" s="6"/>
    </row>
    <row r="27" spans="1:11" ht="12.75">
      <c r="A27" s="96" t="s">
        <v>237</v>
      </c>
      <c r="B27" s="2">
        <v>1</v>
      </c>
      <c r="C27" s="103" t="str">
        <f>+C12</f>
        <v>Unid.</v>
      </c>
      <c r="D27" s="217">
        <v>3750</v>
      </c>
      <c r="E27" s="217">
        <f t="shared" si="0"/>
        <v>3750</v>
      </c>
      <c r="F27" s="217">
        <f t="shared" si="1"/>
        <v>787.5</v>
      </c>
      <c r="G27" s="217">
        <f>+F27+E27</f>
        <v>4537.5</v>
      </c>
      <c r="H27" s="6"/>
      <c r="I27" s="6"/>
      <c r="J27" s="6"/>
      <c r="K27" s="6"/>
    </row>
    <row r="28" spans="1:11" ht="12.75">
      <c r="A28" s="160" t="s">
        <v>205</v>
      </c>
      <c r="B28" s="161"/>
      <c r="C28" s="161"/>
      <c r="D28" s="162"/>
      <c r="E28" s="162"/>
      <c r="F28" s="162"/>
      <c r="G28" s="163">
        <f>SUM(G9:G27)</f>
        <v>74488.92626278481</v>
      </c>
      <c r="H28" s="6"/>
      <c r="I28" s="6"/>
      <c r="J28" s="6"/>
      <c r="K28" s="6"/>
    </row>
    <row r="29" spans="1:11" ht="12.75">
      <c r="A29" s="104" t="s">
        <v>206</v>
      </c>
      <c r="B29" s="2"/>
      <c r="C29" s="103"/>
      <c r="D29" s="99"/>
      <c r="E29" s="99"/>
      <c r="F29" s="99"/>
      <c r="G29" s="99"/>
      <c r="H29" s="6"/>
      <c r="I29" s="6"/>
      <c r="J29" s="6"/>
      <c r="K29" s="6"/>
    </row>
    <row r="30" spans="1:11" ht="12.75">
      <c r="A30" s="104" t="s">
        <v>188</v>
      </c>
      <c r="B30" s="2"/>
      <c r="C30" s="103"/>
      <c r="D30" s="99"/>
      <c r="E30" s="99"/>
      <c r="F30" s="99"/>
      <c r="G30" s="99"/>
      <c r="H30" s="6"/>
      <c r="I30" s="6"/>
      <c r="J30" s="6"/>
      <c r="K30" s="6"/>
    </row>
    <row r="31" spans="1:11" ht="12.75">
      <c r="A31" s="88" t="s">
        <v>6</v>
      </c>
      <c r="B31" s="2">
        <v>110000</v>
      </c>
      <c r="C31" s="103" t="s">
        <v>201</v>
      </c>
      <c r="D31" s="99">
        <v>0.01</v>
      </c>
      <c r="E31" s="99">
        <f>+D31*B31</f>
        <v>1100</v>
      </c>
      <c r="F31" s="99">
        <f>+E31*$F$6</f>
        <v>231</v>
      </c>
      <c r="G31" s="99">
        <f>+F31+E31</f>
        <v>1331</v>
      </c>
      <c r="H31" s="6"/>
      <c r="I31" s="6"/>
      <c r="J31" s="6"/>
      <c r="K31" s="6"/>
    </row>
    <row r="32" spans="1:11" ht="12.75">
      <c r="A32" s="88" t="s">
        <v>254</v>
      </c>
      <c r="B32" s="2">
        <v>10652</v>
      </c>
      <c r="C32" s="103" t="s">
        <v>251</v>
      </c>
      <c r="D32" s="99">
        <v>0.25</v>
      </c>
      <c r="E32" s="99">
        <f>+D32*B32</f>
        <v>2663</v>
      </c>
      <c r="F32" s="99">
        <f aca="true" t="shared" si="3" ref="F32:F42">+E32*$F$6</f>
        <v>559.23</v>
      </c>
      <c r="G32" s="99">
        <f aca="true" t="shared" si="4" ref="G32:G42">+F32+E32</f>
        <v>3222.23</v>
      </c>
      <c r="H32" s="6"/>
      <c r="I32" s="6"/>
      <c r="J32" s="6"/>
      <c r="K32" s="6"/>
    </row>
    <row r="33" spans="1:11" ht="12.75">
      <c r="A33" s="88" t="s">
        <v>244</v>
      </c>
      <c r="B33" s="2">
        <v>70</v>
      </c>
      <c r="C33" s="103" t="s">
        <v>201</v>
      </c>
      <c r="D33" s="99">
        <v>7.5</v>
      </c>
      <c r="E33" s="99">
        <f>+D33*B33</f>
        <v>525</v>
      </c>
      <c r="F33" s="99">
        <f t="shared" si="3"/>
        <v>110.25</v>
      </c>
      <c r="G33" s="99">
        <f t="shared" si="4"/>
        <v>635.25</v>
      </c>
      <c r="H33" s="6"/>
      <c r="I33" s="6"/>
      <c r="J33" s="6"/>
      <c r="K33" s="6"/>
    </row>
    <row r="34" spans="1:11" ht="12.75">
      <c r="A34" s="88" t="s">
        <v>245</v>
      </c>
      <c r="B34" s="16">
        <f>+E34*D34</f>
        <v>78.75</v>
      </c>
      <c r="C34" s="103" t="s">
        <v>201</v>
      </c>
      <c r="D34" s="99">
        <v>0.3</v>
      </c>
      <c r="E34" s="99">
        <v>262.5</v>
      </c>
      <c r="F34" s="99">
        <f t="shared" si="3"/>
        <v>55.125</v>
      </c>
      <c r="G34" s="99">
        <f t="shared" si="4"/>
        <v>317.625</v>
      </c>
      <c r="H34" s="6"/>
      <c r="I34" s="6"/>
      <c r="J34" s="6"/>
      <c r="K34" s="6"/>
    </row>
    <row r="35" spans="1:11" ht="12.75">
      <c r="A35" s="88" t="s">
        <v>246</v>
      </c>
      <c r="B35" s="16">
        <v>11.25</v>
      </c>
      <c r="C35" s="103" t="s">
        <v>251</v>
      </c>
      <c r="D35" s="99">
        <v>30</v>
      </c>
      <c r="E35" s="99">
        <f aca="true" t="shared" si="5" ref="E35:E42">+D35*B35</f>
        <v>337.5</v>
      </c>
      <c r="F35" s="99">
        <f t="shared" si="3"/>
        <v>70.875</v>
      </c>
      <c r="G35" s="99">
        <f t="shared" si="4"/>
        <v>408.375</v>
      </c>
      <c r="H35" s="234"/>
      <c r="I35" s="6"/>
      <c r="J35" s="6"/>
      <c r="K35" s="6"/>
    </row>
    <row r="36" spans="1:11" ht="12.75">
      <c r="A36" s="88" t="s">
        <v>247</v>
      </c>
      <c r="B36" s="2">
        <v>9</v>
      </c>
      <c r="C36" s="103" t="s">
        <v>255</v>
      </c>
      <c r="D36" s="99">
        <v>39</v>
      </c>
      <c r="E36" s="99">
        <f t="shared" si="5"/>
        <v>351</v>
      </c>
      <c r="F36" s="99">
        <f t="shared" si="3"/>
        <v>73.71</v>
      </c>
      <c r="G36" s="99">
        <f t="shared" si="4"/>
        <v>424.71</v>
      </c>
      <c r="H36" s="6"/>
      <c r="I36" s="6"/>
      <c r="J36" s="6"/>
      <c r="K36" s="6"/>
    </row>
    <row r="37" spans="1:11" ht="12.75">
      <c r="A37" s="88" t="s">
        <v>249</v>
      </c>
      <c r="B37" s="2">
        <v>210</v>
      </c>
      <c r="C37" s="103" t="s">
        <v>201</v>
      </c>
      <c r="D37" s="99">
        <v>5.25</v>
      </c>
      <c r="E37" s="99">
        <f t="shared" si="5"/>
        <v>1102.5</v>
      </c>
      <c r="F37" s="99">
        <f t="shared" si="3"/>
        <v>231.52499999999998</v>
      </c>
      <c r="G37" s="99">
        <f t="shared" si="4"/>
        <v>1334.025</v>
      </c>
      <c r="H37" s="6"/>
      <c r="I37" s="6"/>
      <c r="J37" s="6"/>
      <c r="K37" s="6"/>
    </row>
    <row r="38" spans="1:11" ht="12.75">
      <c r="A38" s="88" t="s">
        <v>250</v>
      </c>
      <c r="B38" s="2">
        <f>+'[1]Sist de Calefacción'!$L$9</f>
        <v>1365</v>
      </c>
      <c r="C38" s="103" t="s">
        <v>251</v>
      </c>
      <c r="D38" s="99">
        <v>0.81</v>
      </c>
      <c r="E38" s="99">
        <f t="shared" si="5"/>
        <v>1105.65</v>
      </c>
      <c r="F38" s="99">
        <f t="shared" si="3"/>
        <v>232.18650000000002</v>
      </c>
      <c r="G38" s="99">
        <f t="shared" si="4"/>
        <v>1337.8365000000001</v>
      </c>
      <c r="H38" s="6"/>
      <c r="I38" s="6"/>
      <c r="J38" s="6"/>
      <c r="K38" s="6"/>
    </row>
    <row r="39" spans="1:11" ht="12.75">
      <c r="A39" s="88" t="s">
        <v>180</v>
      </c>
      <c r="B39" s="2">
        <v>2500</v>
      </c>
      <c r="C39" s="222" t="s">
        <v>252</v>
      </c>
      <c r="D39" s="99">
        <f>0.61/3.95</f>
        <v>0.15443037974683543</v>
      </c>
      <c r="E39" s="99">
        <f t="shared" si="5"/>
        <v>386.0759493670886</v>
      </c>
      <c r="F39" s="99">
        <f t="shared" si="3"/>
        <v>81.0759493670886</v>
      </c>
      <c r="G39" s="99">
        <f t="shared" si="4"/>
        <v>467.15189873417717</v>
      </c>
      <c r="H39" s="6"/>
      <c r="I39" s="6"/>
      <c r="J39" s="6"/>
      <c r="K39" s="6"/>
    </row>
    <row r="40" spans="1:11" s="66" customFormat="1" ht="12.75">
      <c r="A40" s="88" t="s">
        <v>338</v>
      </c>
      <c r="B40" s="96">
        <v>1</v>
      </c>
      <c r="C40" s="347" t="s">
        <v>339</v>
      </c>
      <c r="D40" s="97">
        <v>75</v>
      </c>
      <c r="E40" s="97">
        <f>+D40</f>
        <v>75</v>
      </c>
      <c r="F40" s="97">
        <f t="shared" si="3"/>
        <v>15.75</v>
      </c>
      <c r="G40" s="97">
        <f t="shared" si="4"/>
        <v>90.75</v>
      </c>
      <c r="H40" s="335"/>
      <c r="I40" s="335"/>
      <c r="J40" s="335"/>
      <c r="K40" s="335"/>
    </row>
    <row r="41" spans="1:11" ht="12.75">
      <c r="A41" s="88" t="s">
        <v>256</v>
      </c>
      <c r="B41" s="2">
        <v>7908</v>
      </c>
      <c r="C41" s="103" t="s">
        <v>201</v>
      </c>
      <c r="D41" s="99">
        <v>0.054</v>
      </c>
      <c r="E41" s="99">
        <f t="shared" si="5"/>
        <v>427.032</v>
      </c>
      <c r="F41" s="99">
        <f t="shared" si="3"/>
        <v>89.67671999999999</v>
      </c>
      <c r="G41" s="99">
        <f t="shared" si="4"/>
        <v>516.70872</v>
      </c>
      <c r="H41" s="6"/>
      <c r="I41" s="6"/>
      <c r="J41" s="6"/>
      <c r="K41" s="6"/>
    </row>
    <row r="42" spans="1:11" ht="12.75">
      <c r="A42" s="223" t="s">
        <v>257</v>
      </c>
      <c r="B42" s="101">
        <v>94900</v>
      </c>
      <c r="C42" s="224" t="s">
        <v>201</v>
      </c>
      <c r="D42" s="225">
        <v>0.015</v>
      </c>
      <c r="E42" s="225">
        <f t="shared" si="5"/>
        <v>1423.5</v>
      </c>
      <c r="F42" s="99">
        <f t="shared" si="3"/>
        <v>298.935</v>
      </c>
      <c r="G42" s="99">
        <f t="shared" si="4"/>
        <v>1722.435</v>
      </c>
      <c r="H42" s="6"/>
      <c r="I42" s="6"/>
      <c r="J42" s="6"/>
      <c r="K42" s="6"/>
    </row>
    <row r="43" spans="1:11" ht="12.75">
      <c r="A43" s="160" t="s">
        <v>207</v>
      </c>
      <c r="B43" s="164"/>
      <c r="C43" s="165"/>
      <c r="D43" s="166"/>
      <c r="E43" s="166"/>
      <c r="F43" s="166"/>
      <c r="G43" s="334">
        <f>SUM(G31:G42)</f>
        <v>11808.097118734177</v>
      </c>
      <c r="H43" s="6"/>
      <c r="I43" s="6"/>
      <c r="J43" s="6"/>
      <c r="K43" s="6"/>
    </row>
    <row r="44" spans="1:11" ht="12.75">
      <c r="A44" s="95" t="s">
        <v>208</v>
      </c>
      <c r="B44" s="2"/>
      <c r="C44" s="103"/>
      <c r="D44" s="99"/>
      <c r="E44" s="99"/>
      <c r="F44" s="99"/>
      <c r="G44" s="99"/>
      <c r="H44" s="6"/>
      <c r="I44" s="6"/>
      <c r="J44" s="6"/>
      <c r="K44" s="6"/>
    </row>
    <row r="45" spans="1:11" ht="12.75">
      <c r="A45" s="105" t="s">
        <v>192</v>
      </c>
      <c r="B45" s="2"/>
      <c r="C45" s="103"/>
      <c r="D45" s="99"/>
      <c r="E45" s="99"/>
      <c r="F45" s="99"/>
      <c r="G45" s="99"/>
      <c r="H45" s="6"/>
      <c r="I45" s="6"/>
      <c r="J45" s="6"/>
      <c r="K45" s="6"/>
    </row>
    <row r="46" spans="1:11" ht="12.75">
      <c r="A46" s="96" t="s">
        <v>253</v>
      </c>
      <c r="B46" s="106"/>
      <c r="C46" s="107"/>
      <c r="D46" s="108">
        <f>+'[1]costos inv, cont y almac'!$F$79+'[1]costos inv, cont y almac'!$F$113+'[1]costos sist cond y rec de agua'!$D$43+'[1]costos del sist de drenaje'!$D$15+'[1]costo sist electrico'!$D$16+'[1]costo constr bodega y baño'!$E$17+'[1]costo constr fosa'!$E$8+'[1]Sist de Calefacción'!$E$6</f>
        <v>5240</v>
      </c>
      <c r="E46" s="108">
        <f>+D46</f>
        <v>5240</v>
      </c>
      <c r="F46" s="108">
        <f>+E46*$F$6</f>
        <v>1100.3999999999999</v>
      </c>
      <c r="G46" s="108">
        <f>+F46+E46</f>
        <v>6340.4</v>
      </c>
      <c r="H46" s="261"/>
      <c r="I46" s="6"/>
      <c r="J46" s="6"/>
      <c r="K46" s="6"/>
    </row>
    <row r="47" spans="1:11" ht="12.75">
      <c r="A47" s="41" t="s">
        <v>209</v>
      </c>
      <c r="B47" s="106"/>
      <c r="C47" s="107"/>
      <c r="D47" s="108"/>
      <c r="E47" s="108"/>
      <c r="F47" s="108"/>
      <c r="G47" s="108"/>
      <c r="H47" s="6"/>
      <c r="I47" s="6"/>
      <c r="J47" s="6"/>
      <c r="K47" s="6"/>
    </row>
    <row r="48" spans="1:11" ht="12.75">
      <c r="A48" s="109" t="s">
        <v>210</v>
      </c>
      <c r="B48" s="110"/>
      <c r="C48" s="111"/>
      <c r="D48" s="112"/>
      <c r="E48" s="112"/>
      <c r="F48" s="108"/>
      <c r="G48" s="108"/>
      <c r="H48" s="6"/>
      <c r="I48" s="6"/>
      <c r="J48" s="6"/>
      <c r="K48" s="6"/>
    </row>
    <row r="49" spans="1:11" ht="12.75">
      <c r="A49" s="109" t="s">
        <v>211</v>
      </c>
      <c r="B49" s="4">
        <v>1</v>
      </c>
      <c r="C49" s="113" t="s">
        <v>212</v>
      </c>
      <c r="D49" s="114">
        <v>2531.65</v>
      </c>
      <c r="E49" s="114">
        <f>+D49</f>
        <v>2531.65</v>
      </c>
      <c r="F49" s="108">
        <f>+E49*$F$6</f>
        <v>531.6465</v>
      </c>
      <c r="G49" s="108">
        <f>+F49+E49</f>
        <v>3063.2965</v>
      </c>
      <c r="H49" s="6"/>
      <c r="I49" s="6"/>
      <c r="J49" s="6"/>
      <c r="K49" s="6"/>
    </row>
    <row r="50" spans="1:11" ht="12.75">
      <c r="A50" s="105" t="s">
        <v>213</v>
      </c>
      <c r="B50" s="115"/>
      <c r="C50" s="116"/>
      <c r="D50" s="112"/>
      <c r="E50" s="117"/>
      <c r="F50" s="108"/>
      <c r="G50" s="108"/>
      <c r="H50" s="6"/>
      <c r="I50" s="6"/>
      <c r="J50" s="6"/>
      <c r="K50" s="6"/>
    </row>
    <row r="51" spans="1:11" ht="12.75">
      <c r="A51" s="118" t="s">
        <v>214</v>
      </c>
      <c r="B51" s="119"/>
      <c r="C51" s="120"/>
      <c r="D51" s="121"/>
      <c r="E51" s="121"/>
      <c r="F51" s="108"/>
      <c r="G51" s="108"/>
      <c r="H51" s="6"/>
      <c r="I51" s="6"/>
      <c r="J51" s="6"/>
      <c r="K51" s="6"/>
    </row>
    <row r="52" spans="1:11" ht="12.75">
      <c r="A52" s="122" t="s">
        <v>215</v>
      </c>
      <c r="B52" s="122">
        <v>1</v>
      </c>
      <c r="C52" s="123" t="s">
        <v>216</v>
      </c>
      <c r="D52" s="124">
        <v>588.63</v>
      </c>
      <c r="E52" s="124">
        <f>+D52</f>
        <v>588.63</v>
      </c>
      <c r="F52" s="108">
        <f>+E52*$F$6</f>
        <v>123.61229999999999</v>
      </c>
      <c r="G52" s="108">
        <f>+F52+E52</f>
        <v>712.2423</v>
      </c>
      <c r="H52" s="6"/>
      <c r="I52" s="6"/>
      <c r="J52" s="6"/>
      <c r="K52" s="6"/>
    </row>
    <row r="53" spans="1:11" ht="12.75">
      <c r="A53" s="4" t="s">
        <v>217</v>
      </c>
      <c r="B53" s="125"/>
      <c r="C53" s="126"/>
      <c r="D53" s="114"/>
      <c r="E53" s="114"/>
      <c r="F53" s="108"/>
      <c r="G53" s="108"/>
      <c r="H53" s="6"/>
      <c r="I53" s="6"/>
      <c r="J53" s="6"/>
      <c r="K53" s="6"/>
    </row>
    <row r="54" spans="1:11" ht="12.75">
      <c r="A54" s="127" t="s">
        <v>218</v>
      </c>
      <c r="B54" s="2">
        <v>3</v>
      </c>
      <c r="C54" s="103" t="s">
        <v>219</v>
      </c>
      <c r="D54" s="99">
        <v>12.66</v>
      </c>
      <c r="E54" s="99">
        <f>+D54*B54</f>
        <v>37.980000000000004</v>
      </c>
      <c r="F54" s="108">
        <f>+E54*$F$6</f>
        <v>7.9758000000000004</v>
      </c>
      <c r="G54" s="108">
        <f>+F54+E54</f>
        <v>45.9558</v>
      </c>
      <c r="H54" s="6"/>
      <c r="I54" s="6"/>
      <c r="J54" s="6"/>
      <c r="K54" s="6"/>
    </row>
    <row r="55" spans="1:11" ht="12.75">
      <c r="A55" s="128" t="s">
        <v>220</v>
      </c>
      <c r="B55" s="2"/>
      <c r="C55" s="103"/>
      <c r="D55" s="99"/>
      <c r="E55" s="99"/>
      <c r="F55" s="108"/>
      <c r="G55" s="99"/>
      <c r="H55" s="6"/>
      <c r="I55" s="6"/>
      <c r="J55" s="6"/>
      <c r="K55" s="6"/>
    </row>
    <row r="56" spans="1:11" ht="12.75">
      <c r="A56" s="96" t="s">
        <v>221</v>
      </c>
      <c r="B56" s="258">
        <v>3</v>
      </c>
      <c r="C56" s="259">
        <f>+C51</f>
        <v>0</v>
      </c>
      <c r="D56" s="260">
        <v>600</v>
      </c>
      <c r="E56" s="260">
        <f>+D56*B56</f>
        <v>1800</v>
      </c>
      <c r="F56" s="108">
        <f>+E56*$F$6</f>
        <v>378</v>
      </c>
      <c r="G56" s="260">
        <f>+F56+E56</f>
        <v>2178</v>
      </c>
      <c r="H56" s="6"/>
      <c r="I56" s="6"/>
      <c r="J56" s="6"/>
      <c r="K56" s="6"/>
    </row>
    <row r="57" spans="1:11" ht="12.75">
      <c r="A57" s="96" t="s">
        <v>222</v>
      </c>
      <c r="B57" s="258"/>
      <c r="C57" s="259"/>
      <c r="D57" s="260"/>
      <c r="E57" s="260"/>
      <c r="F57" s="260"/>
      <c r="G57" s="260"/>
      <c r="H57" s="6"/>
      <c r="I57" s="6"/>
      <c r="J57" s="6"/>
      <c r="K57" s="6"/>
    </row>
    <row r="58" spans="1:11" ht="12.75">
      <c r="A58" s="160" t="s">
        <v>223</v>
      </c>
      <c r="B58" s="164"/>
      <c r="C58" s="165"/>
      <c r="D58" s="166"/>
      <c r="E58" s="166"/>
      <c r="F58" s="166"/>
      <c r="G58" s="167">
        <f>SUM(G46:G57)</f>
        <v>12339.8946</v>
      </c>
      <c r="H58" s="6"/>
      <c r="I58" s="6"/>
      <c r="J58" s="6"/>
      <c r="K58" s="6"/>
    </row>
    <row r="59" spans="1:11" ht="12.75">
      <c r="A59" s="159" t="s">
        <v>224</v>
      </c>
      <c r="B59" s="168"/>
      <c r="C59" s="159"/>
      <c r="D59" s="167"/>
      <c r="E59" s="167"/>
      <c r="F59" s="167"/>
      <c r="G59" s="334">
        <f>+G28+G43+G58</f>
        <v>98636.91798151899</v>
      </c>
      <c r="H59" s="6"/>
      <c r="I59" s="6"/>
      <c r="J59" s="6"/>
      <c r="K59" s="6"/>
    </row>
    <row r="60" spans="3:11" ht="12.75">
      <c r="C60" s="1"/>
      <c r="H60" s="6"/>
      <c r="I60" s="6"/>
      <c r="J60" s="6"/>
      <c r="K60" s="6"/>
    </row>
    <row r="61" spans="8:11" ht="12.75">
      <c r="H61" s="6"/>
      <c r="I61" s="6"/>
      <c r="J61" s="6"/>
      <c r="K61" s="6"/>
    </row>
    <row r="62" spans="8:11" ht="13.5" thickBot="1">
      <c r="H62" s="6"/>
      <c r="I62" s="6"/>
      <c r="J62" s="6"/>
      <c r="K62" s="6"/>
    </row>
    <row r="63" spans="1:3" ht="15.75" thickBot="1">
      <c r="A63" s="336" t="s">
        <v>364</v>
      </c>
      <c r="B63" s="337" t="s">
        <v>365</v>
      </c>
      <c r="C63" s="338" t="s">
        <v>32</v>
      </c>
    </row>
    <row r="64" spans="1:3" ht="15.75" thickBot="1">
      <c r="A64" s="339" t="s">
        <v>366</v>
      </c>
      <c r="B64" s="340">
        <f>+G28</f>
        <v>74488.92626278481</v>
      </c>
      <c r="C64" s="341">
        <f>+B64*C68/B68</f>
        <v>0.7551830266710214</v>
      </c>
    </row>
    <row r="65" spans="1:3" ht="15.75" thickBot="1">
      <c r="A65" s="339" t="s">
        <v>206</v>
      </c>
      <c r="B65" s="340">
        <f>+G43</f>
        <v>11808.097118734177</v>
      </c>
      <c r="C65" s="341">
        <f>+B65*C68/B68</f>
        <v>0.11971275421385925</v>
      </c>
    </row>
    <row r="66" spans="1:3" ht="15.75" thickBot="1">
      <c r="A66" s="339" t="s">
        <v>367</v>
      </c>
      <c r="B66" s="340">
        <f>+G58</f>
        <v>12339.8946</v>
      </c>
      <c r="C66" s="341">
        <f>+B66*C68/B68</f>
        <v>0.12510421911511926</v>
      </c>
    </row>
    <row r="67" spans="1:3" ht="15.75" thickBot="1">
      <c r="A67" s="342"/>
      <c r="B67" s="343"/>
      <c r="C67" s="344"/>
    </row>
    <row r="68" spans="1:3" ht="15.75" thickBot="1">
      <c r="A68" s="345" t="s">
        <v>368</v>
      </c>
      <c r="B68" s="346">
        <f>SUM(B64:B67)</f>
        <v>98636.91798151899</v>
      </c>
      <c r="C68" s="338">
        <v>1</v>
      </c>
    </row>
  </sheetData>
  <printOptions/>
  <pageMargins left="0.75" right="0.75" top="1" bottom="1" header="0" footer="0"/>
  <pageSetup fitToHeight="1" fitToWidth="1" horizontalDpi="600" verticalDpi="600" orientation="portrait" paperSize="9" scale="62" r:id="rId2"/>
  <drawing r:id="rId1"/>
</worksheet>
</file>

<file path=xl/worksheets/sheet10.xml><?xml version="1.0" encoding="utf-8"?>
<worksheet xmlns="http://schemas.openxmlformats.org/spreadsheetml/2006/main" xmlns:r="http://schemas.openxmlformats.org/officeDocument/2006/relationships">
  <sheetPr>
    <tabColor indexed="51"/>
  </sheetPr>
  <dimension ref="A5:E24"/>
  <sheetViews>
    <sheetView workbookViewId="0" topLeftCell="A1">
      <selection activeCell="I24" sqref="A1:I24"/>
    </sheetView>
  </sheetViews>
  <sheetFormatPr defaultColWidth="11.421875" defaultRowHeight="12.75"/>
  <cols>
    <col min="1" max="1" width="11.421875" style="15" customWidth="1"/>
    <col min="2" max="2" width="12.421875" style="36" bestFit="1" customWidth="1"/>
    <col min="3" max="3" width="12.8515625" style="15" bestFit="1" customWidth="1"/>
    <col min="4" max="4" width="16.28125" style="15" bestFit="1" customWidth="1"/>
    <col min="5" max="6" width="14.140625" style="15" bestFit="1" customWidth="1"/>
    <col min="7" max="16384" width="11.421875" style="15" customWidth="1"/>
  </cols>
  <sheetData>
    <row r="5" spans="1:5" s="14" customFormat="1" ht="12.75">
      <c r="A5" s="132" t="s">
        <v>370</v>
      </c>
      <c r="B5" s="199"/>
      <c r="C5" s="132"/>
      <c r="D5" s="132"/>
      <c r="E5" s="348"/>
    </row>
    <row r="6" s="14" customFormat="1" ht="24" customHeight="1">
      <c r="B6" s="35"/>
    </row>
    <row r="8" spans="1:5" ht="12.75">
      <c r="A8" s="200" t="s">
        <v>47</v>
      </c>
      <c r="B8" s="200" t="s">
        <v>48</v>
      </c>
      <c r="C8" s="200" t="s">
        <v>49</v>
      </c>
      <c r="D8" s="200" t="s">
        <v>50</v>
      </c>
      <c r="E8" s="200" t="s">
        <v>371</v>
      </c>
    </row>
    <row r="9" spans="1:5" ht="12.75">
      <c r="A9" s="37">
        <v>0</v>
      </c>
      <c r="B9" s="293"/>
      <c r="C9" s="294"/>
      <c r="D9" s="294"/>
      <c r="E9" s="295">
        <v>200000</v>
      </c>
    </row>
    <row r="10" spans="1:5" ht="12.75">
      <c r="A10" s="37">
        <v>1</v>
      </c>
      <c r="B10" s="294">
        <f>PMT(9.9%,5,-200000)</f>
        <v>52624.78143130561</v>
      </c>
      <c r="C10" s="294">
        <f>9.9%*E9</f>
        <v>19800</v>
      </c>
      <c r="D10" s="294">
        <f>+B10-C10</f>
        <v>32824.78143130561</v>
      </c>
      <c r="E10" s="294">
        <f>+E9-D10</f>
        <v>167175.2185686944</v>
      </c>
    </row>
    <row r="11" spans="1:5" ht="12.75">
      <c r="A11" s="37">
        <v>2</v>
      </c>
      <c r="B11" s="294">
        <f>PMT(9.9%,5,-200000)</f>
        <v>52624.78143130561</v>
      </c>
      <c r="C11" s="294">
        <f>9.9%*E10</f>
        <v>16550.346638300747</v>
      </c>
      <c r="D11" s="294">
        <f>+B11-C11</f>
        <v>36074.43479300486</v>
      </c>
      <c r="E11" s="294">
        <f>+E10-D11</f>
        <v>131100.78377568955</v>
      </c>
    </row>
    <row r="12" spans="1:5" ht="12.75">
      <c r="A12" s="37">
        <v>3</v>
      </c>
      <c r="B12" s="294">
        <f>PMT(9.9%,5,-200000)</f>
        <v>52624.78143130561</v>
      </c>
      <c r="C12" s="294">
        <f>9.9%*E11</f>
        <v>12978.977593793266</v>
      </c>
      <c r="D12" s="294">
        <f>+B12-C12</f>
        <v>39645.80383751234</v>
      </c>
      <c r="E12" s="294">
        <f>+E11-D12</f>
        <v>91454.9799381772</v>
      </c>
    </row>
    <row r="13" spans="1:5" ht="12.75">
      <c r="A13" s="37">
        <v>4</v>
      </c>
      <c r="B13" s="294">
        <f>PMT(9.9%,5,-200000)</f>
        <v>52624.78143130561</v>
      </c>
      <c r="C13" s="294">
        <f>9.9%*E12</f>
        <v>9054.043013879544</v>
      </c>
      <c r="D13" s="294">
        <f>+B13-C13</f>
        <v>43570.738417426066</v>
      </c>
      <c r="E13" s="294">
        <f>+E12-D13</f>
        <v>47884.24152075114</v>
      </c>
    </row>
    <row r="14" spans="1:5" ht="12.75">
      <c r="A14" s="37">
        <v>5</v>
      </c>
      <c r="B14" s="294">
        <f>PMT(9.9%,5,-200000)</f>
        <v>52624.78143130561</v>
      </c>
      <c r="C14" s="294">
        <f>9.9%*E13</f>
        <v>4740.539910554363</v>
      </c>
      <c r="D14" s="294">
        <f>+B14-C14</f>
        <v>47884.241520751246</v>
      </c>
      <c r="E14" s="294">
        <f>+E13-D14</f>
        <v>-1.0913936421275139E-10</v>
      </c>
    </row>
    <row r="16" spans="1:5" ht="12.75">
      <c r="A16" s="200" t="s">
        <v>47</v>
      </c>
      <c r="B16" s="200" t="s">
        <v>48</v>
      </c>
      <c r="C16" s="200" t="s">
        <v>49</v>
      </c>
      <c r="D16" s="200" t="s">
        <v>50</v>
      </c>
      <c r="E16" s="200" t="s">
        <v>372</v>
      </c>
    </row>
    <row r="17" spans="1:5" ht="12.75">
      <c r="A17" s="37">
        <v>0</v>
      </c>
      <c r="B17" s="293"/>
      <c r="C17" s="294"/>
      <c r="D17" s="294"/>
      <c r="E17" s="295">
        <v>50000</v>
      </c>
    </row>
    <row r="18" spans="1:5" ht="12.75">
      <c r="A18" s="37">
        <v>1</v>
      </c>
      <c r="B18" s="294">
        <f>PMT(2.5%,5,-50000)</f>
        <v>10762.343045410837</v>
      </c>
      <c r="C18" s="294">
        <f>2.5%*E17</f>
        <v>1250</v>
      </c>
      <c r="D18" s="294">
        <f>+B18-C18</f>
        <v>9512.343045410837</v>
      </c>
      <c r="E18" s="294">
        <f>+E17-D18</f>
        <v>40487.65695458916</v>
      </c>
    </row>
    <row r="19" spans="1:5" ht="12.75">
      <c r="A19" s="37">
        <v>2</v>
      </c>
      <c r="B19" s="294">
        <f>PMT(2.5%,5,-50000)</f>
        <v>10762.343045410837</v>
      </c>
      <c r="C19" s="294">
        <f>2.5%*E18</f>
        <v>1012.1914238647291</v>
      </c>
      <c r="D19" s="294">
        <f>+B19-C19</f>
        <v>9750.151621546107</v>
      </c>
      <c r="E19" s="294">
        <f>+E18-D19</f>
        <v>30737.505333043053</v>
      </c>
    </row>
    <row r="20" spans="1:5" ht="12.75">
      <c r="A20" s="37">
        <v>3</v>
      </c>
      <c r="B20" s="294">
        <f>PMT(2.5%,5,-50000)</f>
        <v>10762.343045410837</v>
      </c>
      <c r="C20" s="294">
        <f>2.5%*E19</f>
        <v>768.4376333260764</v>
      </c>
      <c r="D20" s="294">
        <f>+B20-C20</f>
        <v>9993.90541208476</v>
      </c>
      <c r="E20" s="294">
        <f>+E19-D20</f>
        <v>20743.599920958295</v>
      </c>
    </row>
    <row r="21" spans="1:5" ht="12.75">
      <c r="A21" s="37">
        <v>4</v>
      </c>
      <c r="B21" s="294">
        <f>PMT(2.5%,5,-50000)</f>
        <v>10762.343045410837</v>
      </c>
      <c r="C21" s="294">
        <f>2.5%*E20</f>
        <v>518.5899980239574</v>
      </c>
      <c r="D21" s="294">
        <f>+B21-C21</f>
        <v>10243.75304738688</v>
      </c>
      <c r="E21" s="294">
        <f>+E20-D21</f>
        <v>10499.846873571416</v>
      </c>
    </row>
    <row r="22" spans="1:5" ht="12.75">
      <c r="A22" s="37">
        <v>5</v>
      </c>
      <c r="B22" s="294">
        <f>PMT(2.5%,5,-50000)</f>
        <v>10762.343045410837</v>
      </c>
      <c r="C22" s="294">
        <f>2.5%*E21</f>
        <v>262.4961718392854</v>
      </c>
      <c r="D22" s="294">
        <f>+B22-C22</f>
        <v>10499.84687357155</v>
      </c>
      <c r="E22" s="294">
        <f>+E21-D22</f>
        <v>-1.3460521586239338E-10</v>
      </c>
    </row>
    <row r="24" ht="12.75">
      <c r="A24" s="15" t="s">
        <v>375</v>
      </c>
    </row>
  </sheetData>
  <printOptions/>
  <pageMargins left="0.75" right="0.75" top="1" bottom="1" header="0" footer="0"/>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55"/>
    <pageSetUpPr fitToPage="1"/>
  </sheetPr>
  <dimension ref="A5:O32"/>
  <sheetViews>
    <sheetView zoomScale="80" zoomScaleNormal="80" workbookViewId="0" topLeftCell="E1">
      <selection activeCell="A56" sqref="A1:K56"/>
    </sheetView>
  </sheetViews>
  <sheetFormatPr defaultColWidth="11.421875" defaultRowHeight="12.75"/>
  <cols>
    <col min="1" max="1" width="49.28125" style="0" customWidth="1"/>
    <col min="2" max="2" width="14.00390625" style="80" bestFit="1" customWidth="1"/>
    <col min="3" max="3" width="11.57421875" style="80" bestFit="1" customWidth="1"/>
    <col min="4" max="11" width="13.28125" style="0" bestFit="1" customWidth="1"/>
  </cols>
  <sheetData>
    <row r="5" spans="6:9" ht="20.25">
      <c r="F5" s="201"/>
      <c r="G5" s="202" t="s">
        <v>174</v>
      </c>
      <c r="H5" s="201"/>
      <c r="I5" s="100"/>
    </row>
    <row r="7" spans="1:11" ht="12.75">
      <c r="A7" s="183" t="s">
        <v>175</v>
      </c>
      <c r="B7" s="203" t="s">
        <v>225</v>
      </c>
      <c r="C7" s="204">
        <v>2010</v>
      </c>
      <c r="D7" s="159">
        <v>2011</v>
      </c>
      <c r="E7" s="159">
        <v>2012</v>
      </c>
      <c r="F7" s="159">
        <v>2013</v>
      </c>
      <c r="G7" s="159">
        <v>2014</v>
      </c>
      <c r="H7" s="159">
        <v>2015</v>
      </c>
      <c r="I7" s="159">
        <v>2016</v>
      </c>
      <c r="J7" s="159">
        <v>2017</v>
      </c>
      <c r="K7" s="159">
        <v>2018</v>
      </c>
    </row>
    <row r="8" spans="1:11" ht="12.75">
      <c r="A8" s="2" t="s">
        <v>176</v>
      </c>
      <c r="B8" s="289">
        <f>90/3.95</f>
        <v>22.78481012658228</v>
      </c>
      <c r="D8" s="289">
        <f>+$B$8*12</f>
        <v>273.4177215189874</v>
      </c>
      <c r="E8" s="289">
        <f aca="true" t="shared" si="0" ref="E8:K8">+$B$8*12</f>
        <v>273.4177215189874</v>
      </c>
      <c r="F8" s="289">
        <f t="shared" si="0"/>
        <v>273.4177215189874</v>
      </c>
      <c r="G8" s="289">
        <f t="shared" si="0"/>
        <v>273.4177215189874</v>
      </c>
      <c r="H8" s="289">
        <f t="shared" si="0"/>
        <v>273.4177215189874</v>
      </c>
      <c r="I8" s="289">
        <f t="shared" si="0"/>
        <v>273.4177215189874</v>
      </c>
      <c r="J8" s="289">
        <f t="shared" si="0"/>
        <v>273.4177215189874</v>
      </c>
      <c r="K8" s="289">
        <f t="shared" si="0"/>
        <v>273.4177215189874</v>
      </c>
    </row>
    <row r="9" spans="1:11" ht="12.75">
      <c r="A9" s="2" t="s">
        <v>178</v>
      </c>
      <c r="B9" s="289">
        <f>185/3.95</f>
        <v>46.835443037974684</v>
      </c>
      <c r="C9" s="12"/>
      <c r="D9" s="289">
        <f>+$B$9*12</f>
        <v>562.0253164556962</v>
      </c>
      <c r="E9" s="289">
        <f>+(D9*10%)+D9</f>
        <v>618.2278481012657</v>
      </c>
      <c r="F9" s="289">
        <f aca="true" t="shared" si="1" ref="F9:K9">+(E9*10%)+E9</f>
        <v>680.0506329113923</v>
      </c>
      <c r="G9" s="289">
        <f t="shared" si="1"/>
        <v>748.0556962025315</v>
      </c>
      <c r="H9" s="289">
        <f t="shared" si="1"/>
        <v>822.8612658227846</v>
      </c>
      <c r="I9" s="289">
        <f t="shared" si="1"/>
        <v>905.1473924050631</v>
      </c>
      <c r="J9" s="289">
        <f t="shared" si="1"/>
        <v>995.6621316455694</v>
      </c>
      <c r="K9" s="289">
        <f t="shared" si="1"/>
        <v>1095.2283448101264</v>
      </c>
    </row>
    <row r="10" spans="1:11" ht="12.75">
      <c r="A10" s="2" t="s">
        <v>179</v>
      </c>
      <c r="B10" s="289">
        <f>200/3.95</f>
        <v>50.63291139240506</v>
      </c>
      <c r="C10" s="12"/>
      <c r="D10" s="289">
        <f>+$B$10*12</f>
        <v>607.5949367088608</v>
      </c>
      <c r="E10" s="289">
        <f aca="true" t="shared" si="2" ref="E10:E15">(+D10*10%)+D10</f>
        <v>668.3544303797469</v>
      </c>
      <c r="F10" s="289">
        <f aca="true" t="shared" si="3" ref="F10:K10">(+E10*10%)+E10</f>
        <v>735.1898734177215</v>
      </c>
      <c r="G10" s="289">
        <f t="shared" si="3"/>
        <v>808.7088607594936</v>
      </c>
      <c r="H10" s="289">
        <f t="shared" si="3"/>
        <v>889.579746835443</v>
      </c>
      <c r="I10" s="289">
        <f t="shared" si="3"/>
        <v>978.5377215189873</v>
      </c>
      <c r="J10" s="289">
        <f t="shared" si="3"/>
        <v>1076.3914936708861</v>
      </c>
      <c r="K10" s="289">
        <f t="shared" si="3"/>
        <v>1184.0306430379746</v>
      </c>
    </row>
    <row r="11" spans="1:11" ht="12.75">
      <c r="A11" s="2" t="s">
        <v>180</v>
      </c>
      <c r="B11" s="289">
        <v>15.18</v>
      </c>
      <c r="C11" s="12"/>
      <c r="D11" s="289">
        <f>+$B$11*12</f>
        <v>182.16</v>
      </c>
      <c r="E11" s="289">
        <f t="shared" si="2"/>
        <v>200.376</v>
      </c>
      <c r="F11" s="289">
        <f aca="true" t="shared" si="4" ref="F11:K11">(+E11*10%)+E11</f>
        <v>220.4136</v>
      </c>
      <c r="G11" s="289">
        <f t="shared" si="4"/>
        <v>242.45496</v>
      </c>
      <c r="H11" s="289">
        <f t="shared" si="4"/>
        <v>266.70045600000003</v>
      </c>
      <c r="I11" s="289">
        <f t="shared" si="4"/>
        <v>293.3705016</v>
      </c>
      <c r="J11" s="289">
        <f t="shared" si="4"/>
        <v>322.70755176</v>
      </c>
      <c r="K11" s="289">
        <f t="shared" si="4"/>
        <v>354.978306936</v>
      </c>
    </row>
    <row r="12" spans="1:11" ht="12.75">
      <c r="A12" s="2" t="s">
        <v>181</v>
      </c>
      <c r="B12" s="289">
        <f>100/3.95</f>
        <v>25.31645569620253</v>
      </c>
      <c r="C12" s="12"/>
      <c r="D12" s="289">
        <f>+$B$12*12</f>
        <v>303.7974683544304</v>
      </c>
      <c r="E12" s="289">
        <f t="shared" si="2"/>
        <v>334.17721518987344</v>
      </c>
      <c r="F12" s="289">
        <f aca="true" t="shared" si="5" ref="F12:K12">(+E12*10%)+E12</f>
        <v>367.59493670886076</v>
      </c>
      <c r="G12" s="289">
        <f t="shared" si="5"/>
        <v>404.3544303797468</v>
      </c>
      <c r="H12" s="289">
        <f t="shared" si="5"/>
        <v>444.7898734177215</v>
      </c>
      <c r="I12" s="289">
        <f t="shared" si="5"/>
        <v>489.26886075949363</v>
      </c>
      <c r="J12" s="289">
        <f t="shared" si="5"/>
        <v>538.1957468354431</v>
      </c>
      <c r="K12" s="289">
        <f t="shared" si="5"/>
        <v>592.0153215189873</v>
      </c>
    </row>
    <row r="13" spans="1:11" ht="12.75">
      <c r="A13" s="2" t="s">
        <v>182</v>
      </c>
      <c r="B13" s="289">
        <f>(170/3.95)/3</f>
        <v>14.345991561181433</v>
      </c>
      <c r="C13" s="12"/>
      <c r="D13" s="289">
        <f>+$B$13*12</f>
        <v>172.1518987341772</v>
      </c>
      <c r="E13" s="289">
        <f t="shared" si="2"/>
        <v>189.36708860759492</v>
      </c>
      <c r="F13" s="289">
        <f aca="true" t="shared" si="6" ref="F13:K14">(+E13*10%)+E13</f>
        <v>208.30379746835442</v>
      </c>
      <c r="G13" s="289">
        <f t="shared" si="6"/>
        <v>229.13417721518985</v>
      </c>
      <c r="H13" s="289">
        <f t="shared" si="6"/>
        <v>252.04759493670883</v>
      </c>
      <c r="I13" s="289">
        <f t="shared" si="6"/>
        <v>277.25235443037974</v>
      </c>
      <c r="J13" s="289">
        <f t="shared" si="6"/>
        <v>304.97758987341774</v>
      </c>
      <c r="K13" s="289">
        <f t="shared" si="6"/>
        <v>335.47534886075954</v>
      </c>
    </row>
    <row r="14" spans="1:11" ht="12.75">
      <c r="A14" s="2" t="s">
        <v>337</v>
      </c>
      <c r="B14" s="289">
        <f>130*0.94</f>
        <v>122.19999999999999</v>
      </c>
      <c r="C14" s="12"/>
      <c r="D14" s="289">
        <f>+B14*12</f>
        <v>1466.3999999999999</v>
      </c>
      <c r="E14" s="289">
        <f t="shared" si="2"/>
        <v>1613.04</v>
      </c>
      <c r="F14" s="289">
        <f t="shared" si="6"/>
        <v>1774.344</v>
      </c>
      <c r="G14" s="289">
        <f t="shared" si="6"/>
        <v>1951.7784000000001</v>
      </c>
      <c r="H14" s="289">
        <f t="shared" si="6"/>
        <v>2146.95624</v>
      </c>
      <c r="I14" s="289">
        <f t="shared" si="6"/>
        <v>2361.651864</v>
      </c>
      <c r="J14" s="289">
        <f t="shared" si="6"/>
        <v>2597.8170504</v>
      </c>
      <c r="K14" s="289">
        <f t="shared" si="6"/>
        <v>2857.59875544</v>
      </c>
    </row>
    <row r="15" spans="1:11" ht="12.75">
      <c r="A15" s="2" t="s">
        <v>184</v>
      </c>
      <c r="B15" s="289">
        <f>850/3.95</f>
        <v>215.18987341772151</v>
      </c>
      <c r="C15" s="12"/>
      <c r="D15" s="289">
        <f>+$B$15*12</f>
        <v>2582.278481012658</v>
      </c>
      <c r="E15" s="289">
        <f t="shared" si="2"/>
        <v>2840.506329113924</v>
      </c>
      <c r="F15" s="289">
        <f aca="true" t="shared" si="7" ref="F15:K15">(+E15*10%)+E15</f>
        <v>3124.5569620253164</v>
      </c>
      <c r="G15" s="289">
        <f t="shared" si="7"/>
        <v>3437.012658227848</v>
      </c>
      <c r="H15" s="289">
        <f t="shared" si="7"/>
        <v>3780.713924050633</v>
      </c>
      <c r="I15" s="289">
        <f t="shared" si="7"/>
        <v>4158.785316455696</v>
      </c>
      <c r="J15" s="289">
        <f t="shared" si="7"/>
        <v>4574.663848101266</v>
      </c>
      <c r="K15" s="289">
        <f t="shared" si="7"/>
        <v>5032.130232911392</v>
      </c>
    </row>
    <row r="16" spans="1:11" ht="12.75">
      <c r="A16" s="2" t="s">
        <v>185</v>
      </c>
      <c r="B16" s="289">
        <f>+'Sueldos y Cargas Sociales'!C16</f>
        <v>4425.595569620253</v>
      </c>
      <c r="C16" s="12"/>
      <c r="D16" s="289">
        <f>+$B$16*13</f>
        <v>57532.74240506328</v>
      </c>
      <c r="E16" s="289">
        <f>+(D16*10%)+D16</f>
        <v>63286.016645569616</v>
      </c>
      <c r="F16" s="289">
        <f aca="true" t="shared" si="8" ref="F16:K16">+(E16*10%)+E16</f>
        <v>69614.61831012658</v>
      </c>
      <c r="G16" s="289">
        <f t="shared" si="8"/>
        <v>76576.08014113923</v>
      </c>
      <c r="H16" s="289">
        <f t="shared" si="8"/>
        <v>84233.68815525316</v>
      </c>
      <c r="I16" s="289">
        <f t="shared" si="8"/>
        <v>92657.05697077847</v>
      </c>
      <c r="J16" s="289">
        <f t="shared" si="8"/>
        <v>101922.76266785632</v>
      </c>
      <c r="K16" s="289">
        <f t="shared" si="8"/>
        <v>112115.03893464195</v>
      </c>
    </row>
    <row r="17" spans="1:11" ht="12.75">
      <c r="A17" s="2" t="s">
        <v>165</v>
      </c>
      <c r="B17" s="289">
        <f>+'Sueldos y Cargas Sociales'!D16</f>
        <v>1797.2343608227848</v>
      </c>
      <c r="C17" s="12"/>
      <c r="D17" s="289">
        <f>+$B$17*13</f>
        <v>23364.046690696203</v>
      </c>
      <c r="E17" s="289">
        <f>(+D17*10%)+D17</f>
        <v>25700.451359765822</v>
      </c>
      <c r="F17" s="289">
        <f aca="true" t="shared" si="9" ref="F17:K17">(+E17*10%)+E17</f>
        <v>28270.496495742405</v>
      </c>
      <c r="G17" s="289">
        <f t="shared" si="9"/>
        <v>31097.546145316646</v>
      </c>
      <c r="H17" s="289">
        <f t="shared" si="9"/>
        <v>34207.30075984831</v>
      </c>
      <c r="I17" s="289">
        <f t="shared" si="9"/>
        <v>37628.03083583314</v>
      </c>
      <c r="J17" s="289">
        <f t="shared" si="9"/>
        <v>41390.83391941645</v>
      </c>
      <c r="K17" s="289">
        <f t="shared" si="9"/>
        <v>45529.9173113581</v>
      </c>
    </row>
    <row r="18" spans="1:11" ht="12.75">
      <c r="A18" s="10" t="s">
        <v>186</v>
      </c>
      <c r="B18" s="289">
        <v>8.92</v>
      </c>
      <c r="C18" s="129"/>
      <c r="D18" s="289">
        <f>+$B$18*13</f>
        <v>115.96</v>
      </c>
      <c r="E18" s="289">
        <f>(+D18*10%)+D18</f>
        <v>127.556</v>
      </c>
      <c r="F18" s="289">
        <f aca="true" t="shared" si="10" ref="F18:K18">(+E18*10%)+E18</f>
        <v>140.3116</v>
      </c>
      <c r="G18" s="289">
        <f t="shared" si="10"/>
        <v>154.34276</v>
      </c>
      <c r="H18" s="289">
        <f t="shared" si="10"/>
        <v>169.777036</v>
      </c>
      <c r="I18" s="289">
        <f t="shared" si="10"/>
        <v>186.75473960000002</v>
      </c>
      <c r="J18" s="289">
        <f t="shared" si="10"/>
        <v>205.43021356000003</v>
      </c>
      <c r="K18" s="289">
        <f t="shared" si="10"/>
        <v>225.97323491600002</v>
      </c>
    </row>
    <row r="19" spans="1:11" ht="12.75">
      <c r="A19" s="10" t="s">
        <v>187</v>
      </c>
      <c r="B19" s="299">
        <f>264.3/6</f>
        <v>44.050000000000004</v>
      </c>
      <c r="C19" s="129"/>
      <c r="D19" s="289">
        <f>+$B$19*12</f>
        <v>528.6</v>
      </c>
      <c r="E19" s="289">
        <f>(+D19*10%)+D19</f>
        <v>581.46</v>
      </c>
      <c r="F19" s="289">
        <f aca="true" t="shared" si="11" ref="F19:K19">(+E19*10%)+E19</f>
        <v>639.606</v>
      </c>
      <c r="G19" s="289">
        <f t="shared" si="11"/>
        <v>703.5666</v>
      </c>
      <c r="H19" s="289">
        <f t="shared" si="11"/>
        <v>773.92326</v>
      </c>
      <c r="I19" s="289">
        <f t="shared" si="11"/>
        <v>851.315586</v>
      </c>
      <c r="J19" s="289">
        <f t="shared" si="11"/>
        <v>936.4471446</v>
      </c>
      <c r="K19" s="289">
        <f t="shared" si="11"/>
        <v>1030.09185906</v>
      </c>
    </row>
    <row r="20" spans="1:11" ht="12.75">
      <c r="A20" s="10" t="s">
        <v>317</v>
      </c>
      <c r="B20" s="299">
        <f>675.95/12</f>
        <v>56.32916666666667</v>
      </c>
      <c r="C20" s="129"/>
      <c r="D20" s="289">
        <f>+$B$20*12</f>
        <v>675.95</v>
      </c>
      <c r="E20" s="289">
        <f>(+D20*10%)+D20</f>
        <v>743.5450000000001</v>
      </c>
      <c r="F20" s="289">
        <f aca="true" t="shared" si="12" ref="F20:K20">(+E20*10%)+E20</f>
        <v>817.8995000000001</v>
      </c>
      <c r="G20" s="289">
        <f t="shared" si="12"/>
        <v>899.6894500000001</v>
      </c>
      <c r="H20" s="289">
        <f t="shared" si="12"/>
        <v>989.6583950000002</v>
      </c>
      <c r="I20" s="289">
        <f t="shared" si="12"/>
        <v>1088.6242345</v>
      </c>
      <c r="J20" s="289">
        <f t="shared" si="12"/>
        <v>1197.48665795</v>
      </c>
      <c r="K20" s="289">
        <f t="shared" si="12"/>
        <v>1317.2353237450002</v>
      </c>
    </row>
    <row r="21" spans="1:11" ht="12.75">
      <c r="A21" s="286" t="s">
        <v>193</v>
      </c>
      <c r="B21" s="300">
        <f>SUM(B8:B20)</f>
        <v>6844.614582341772</v>
      </c>
      <c r="C21" s="288"/>
      <c r="D21" s="290">
        <f>SUM(D8:D20)</f>
        <v>88367.12491854432</v>
      </c>
      <c r="E21" s="290">
        <f aca="true" t="shared" si="13" ref="E21:K21">SUM(E8:E20)</f>
        <v>97176.49563824684</v>
      </c>
      <c r="F21" s="290">
        <f t="shared" si="13"/>
        <v>106866.80342991962</v>
      </c>
      <c r="G21" s="290">
        <f t="shared" si="13"/>
        <v>117526.14200075969</v>
      </c>
      <c r="H21" s="290">
        <f t="shared" si="13"/>
        <v>129251.41442868374</v>
      </c>
      <c r="I21" s="290">
        <f t="shared" si="13"/>
        <v>142149.21409940024</v>
      </c>
      <c r="J21" s="290">
        <f t="shared" si="13"/>
        <v>156336.79373718836</v>
      </c>
      <c r="K21" s="290">
        <f t="shared" si="13"/>
        <v>171943.13133875525</v>
      </c>
    </row>
    <row r="22" spans="1:11" ht="12.75">
      <c r="A22" s="183" t="s">
        <v>188</v>
      </c>
      <c r="B22" s="301"/>
      <c r="C22" s="130"/>
      <c r="D22" s="291"/>
      <c r="E22" s="291"/>
      <c r="F22" s="291"/>
      <c r="G22" s="291"/>
      <c r="H22" s="291"/>
      <c r="I22" s="291"/>
      <c r="J22" s="291"/>
      <c r="K22" s="291"/>
    </row>
    <row r="23" spans="1:11" ht="12.75">
      <c r="A23" s="2" t="s">
        <v>299</v>
      </c>
      <c r="B23" s="289">
        <f>(+'costo de prod unit.'!$E$19-B30)*30</f>
        <v>779.0366772151899</v>
      </c>
      <c r="C23" s="12"/>
      <c r="D23" s="289">
        <f>+$B$23*12</f>
        <v>9348.440126582278</v>
      </c>
      <c r="E23" s="289">
        <f aca="true" t="shared" si="14" ref="E23:K23">+$B$23*12</f>
        <v>9348.440126582278</v>
      </c>
      <c r="F23" s="289">
        <f t="shared" si="14"/>
        <v>9348.440126582278</v>
      </c>
      <c r="G23" s="289">
        <f t="shared" si="14"/>
        <v>9348.440126582278</v>
      </c>
      <c r="H23" s="289">
        <f t="shared" si="14"/>
        <v>9348.440126582278</v>
      </c>
      <c r="I23" s="289">
        <f t="shared" si="14"/>
        <v>9348.440126582278</v>
      </c>
      <c r="J23" s="289">
        <f t="shared" si="14"/>
        <v>9348.440126582278</v>
      </c>
      <c r="K23" s="289">
        <f t="shared" si="14"/>
        <v>9348.440126582278</v>
      </c>
    </row>
    <row r="24" spans="1:15" ht="12.75">
      <c r="A24" s="2" t="s">
        <v>327</v>
      </c>
      <c r="B24" s="289">
        <f>+'Estructura de Inversión'!G39</f>
        <v>467.15189873417717</v>
      </c>
      <c r="C24" s="12"/>
      <c r="D24" s="289">
        <f>+B24*12</f>
        <v>5605.822784810126</v>
      </c>
      <c r="E24" s="289">
        <f>(+D24*10%)+D24</f>
        <v>6166.4050632911385</v>
      </c>
      <c r="F24" s="289">
        <f aca="true" t="shared" si="15" ref="F24:K24">(+E24*10%)+E24</f>
        <v>6783.0455696202525</v>
      </c>
      <c r="G24" s="289">
        <f t="shared" si="15"/>
        <v>7461.350126582278</v>
      </c>
      <c r="H24" s="289">
        <f t="shared" si="15"/>
        <v>8207.485139240505</v>
      </c>
      <c r="I24" s="289">
        <f t="shared" si="15"/>
        <v>9028.233653164556</v>
      </c>
      <c r="J24" s="289">
        <f t="shared" si="15"/>
        <v>9931.057018481011</v>
      </c>
      <c r="K24" s="289">
        <f t="shared" si="15"/>
        <v>10924.162720329112</v>
      </c>
      <c r="L24" s="6"/>
      <c r="M24" s="6"/>
      <c r="N24" s="6"/>
      <c r="O24" s="6"/>
    </row>
    <row r="25" spans="1:15" ht="12.75">
      <c r="A25" s="2" t="s">
        <v>328</v>
      </c>
      <c r="B25" s="289">
        <f>50/3.95</f>
        <v>12.658227848101266</v>
      </c>
      <c r="C25" s="12"/>
      <c r="D25" s="289">
        <f>+B25*12</f>
        <v>151.8987341772152</v>
      </c>
      <c r="E25" s="289">
        <f>(+D25*10%)+D25</f>
        <v>167.08860759493672</v>
      </c>
      <c r="F25" s="289">
        <f aca="true" t="shared" si="16" ref="F25:K25">(+E25*10%)+E25</f>
        <v>183.79746835443038</v>
      </c>
      <c r="G25" s="289">
        <f t="shared" si="16"/>
        <v>202.1772151898734</v>
      </c>
      <c r="H25" s="289">
        <f t="shared" si="16"/>
        <v>222.39493670886074</v>
      </c>
      <c r="I25" s="289">
        <f t="shared" si="16"/>
        <v>244.63443037974682</v>
      </c>
      <c r="J25" s="289">
        <f t="shared" si="16"/>
        <v>269.09787341772153</v>
      </c>
      <c r="K25" s="289">
        <f t="shared" si="16"/>
        <v>296.00766075949366</v>
      </c>
      <c r="L25" s="314"/>
      <c r="M25" s="314"/>
      <c r="N25" s="314"/>
      <c r="O25" s="314"/>
    </row>
    <row r="26" spans="1:11" ht="12.75">
      <c r="A26" s="2" t="s">
        <v>183</v>
      </c>
      <c r="B26" s="299">
        <f>+'[1]Sist de Calefacción'!$L$9</f>
        <v>1365</v>
      </c>
      <c r="C26" s="12"/>
      <c r="D26" s="289">
        <f>+$B$26*12</f>
        <v>16380</v>
      </c>
      <c r="E26" s="289">
        <f>(+D26*10%)+D26</f>
        <v>18018</v>
      </c>
      <c r="F26" s="289">
        <f aca="true" t="shared" si="17" ref="F26:K26">(+E26*10%)+E26</f>
        <v>19819.8</v>
      </c>
      <c r="G26" s="289">
        <f t="shared" si="17"/>
        <v>21801.78</v>
      </c>
      <c r="H26" s="289">
        <f t="shared" si="17"/>
        <v>23981.958</v>
      </c>
      <c r="I26" s="289">
        <f t="shared" si="17"/>
        <v>26380.1538</v>
      </c>
      <c r="J26" s="289">
        <f t="shared" si="17"/>
        <v>29018.16918</v>
      </c>
      <c r="K26" s="289">
        <f t="shared" si="17"/>
        <v>31919.986098</v>
      </c>
    </row>
    <row r="27" spans="1:11" ht="12.75">
      <c r="A27" s="2" t="s">
        <v>189</v>
      </c>
      <c r="B27" s="289">
        <f>+(IPV!$C$19/12)*0.6%</f>
        <v>67.72489055411299</v>
      </c>
      <c r="C27" s="12"/>
      <c r="D27" s="289">
        <f>+IPV!C19*0.6%</f>
        <v>812.6986866493557</v>
      </c>
      <c r="E27" s="289">
        <f>+IPV!D19*0.6%</f>
        <v>893.9685553142915</v>
      </c>
      <c r="F27" s="289">
        <f>+IPV!E19*0.6%</f>
        <v>983.3654108457207</v>
      </c>
      <c r="G27" s="289">
        <f>+IPV!F19*0.6%</f>
        <v>1081.7019519302926</v>
      </c>
      <c r="H27" s="289">
        <f>+IPV!G19*0.6%</f>
        <v>1189.8721471233218</v>
      </c>
      <c r="I27" s="289">
        <f>+IPV!H19*0.6%</f>
        <v>1308.859361835654</v>
      </c>
      <c r="J27" s="289">
        <f>+IPV!I19*0.6%</f>
        <v>1439.7452980192195</v>
      </c>
      <c r="K27" s="289">
        <f>+IPV!J19*0.6%</f>
        <v>1583.7198278211413</v>
      </c>
    </row>
    <row r="28" spans="1:11" ht="12.75">
      <c r="A28" s="2" t="s">
        <v>190</v>
      </c>
      <c r="B28" s="299">
        <f>+('Sueldos y Cargas Sociales'!E16)*1.5%</f>
        <v>2.3234376740506324</v>
      </c>
      <c r="C28" s="12"/>
      <c r="D28" s="289">
        <f aca="true" t="shared" si="18" ref="D28:K28">+$B$28*12</f>
        <v>27.88125208860759</v>
      </c>
      <c r="E28" s="289">
        <f t="shared" si="18"/>
        <v>27.88125208860759</v>
      </c>
      <c r="F28" s="289">
        <f t="shared" si="18"/>
        <v>27.88125208860759</v>
      </c>
      <c r="G28" s="289">
        <f t="shared" si="18"/>
        <v>27.88125208860759</v>
      </c>
      <c r="H28" s="289">
        <f t="shared" si="18"/>
        <v>27.88125208860759</v>
      </c>
      <c r="I28" s="289">
        <f t="shared" si="18"/>
        <v>27.88125208860759</v>
      </c>
      <c r="J28" s="289">
        <f t="shared" si="18"/>
        <v>27.88125208860759</v>
      </c>
      <c r="K28" s="289">
        <f t="shared" si="18"/>
        <v>27.88125208860759</v>
      </c>
    </row>
    <row r="29" spans="1:11" ht="12.75">
      <c r="A29" s="2" t="s">
        <v>177</v>
      </c>
      <c r="B29" s="289">
        <v>126.58</v>
      </c>
      <c r="C29" s="12"/>
      <c r="D29" s="289">
        <f>+$B$29*12</f>
        <v>1518.96</v>
      </c>
      <c r="E29" s="289">
        <f>+(+D29*10%)+D29</f>
        <v>1670.856</v>
      </c>
      <c r="F29" s="289">
        <f aca="true" t="shared" si="19" ref="F29:K29">+(+E29*10%)+E29</f>
        <v>1837.9416</v>
      </c>
      <c r="G29" s="289">
        <f t="shared" si="19"/>
        <v>2021.73576</v>
      </c>
      <c r="H29" s="289">
        <f t="shared" si="19"/>
        <v>2223.909336</v>
      </c>
      <c r="I29" s="289">
        <f t="shared" si="19"/>
        <v>2446.3002696000003</v>
      </c>
      <c r="J29" s="289">
        <f t="shared" si="19"/>
        <v>2690.9302965600004</v>
      </c>
      <c r="K29" s="289">
        <f t="shared" si="19"/>
        <v>2960.0233262160004</v>
      </c>
    </row>
    <row r="30" spans="1:11" ht="12.75">
      <c r="A30" s="10" t="s">
        <v>191</v>
      </c>
      <c r="B30" s="302">
        <f>+'costo de prod unit.'!E29+'costo de prod unit.'!E30</f>
        <v>5.4896400000000005</v>
      </c>
      <c r="C30" s="129"/>
      <c r="D30" s="289">
        <f>+$B$30*12</f>
        <v>65.87568</v>
      </c>
      <c r="E30" s="289">
        <f>(+D30*10%)+D30</f>
        <v>72.46324800000001</v>
      </c>
      <c r="F30" s="289">
        <f aca="true" t="shared" si="20" ref="F30:K30">(+E30*10%)+E30</f>
        <v>79.7095728</v>
      </c>
      <c r="G30" s="289">
        <f t="shared" si="20"/>
        <v>87.68053008000001</v>
      </c>
      <c r="H30" s="289">
        <f t="shared" si="20"/>
        <v>96.448583088</v>
      </c>
      <c r="I30" s="289">
        <f t="shared" si="20"/>
        <v>106.0934413968</v>
      </c>
      <c r="J30" s="289">
        <f t="shared" si="20"/>
        <v>116.70278553648001</v>
      </c>
      <c r="K30" s="289">
        <f t="shared" si="20"/>
        <v>128.373064090128</v>
      </c>
    </row>
    <row r="31" spans="1:11" ht="12.75">
      <c r="A31" s="206" t="s">
        <v>315</v>
      </c>
      <c r="B31" s="285">
        <f>SUM(B23:B30)</f>
        <v>2825.964772025631</v>
      </c>
      <c r="C31" s="285"/>
      <c r="D31" s="292">
        <f>SUM(D23:D30)</f>
        <v>33911.57726430758</v>
      </c>
      <c r="E31" s="292">
        <f aca="true" t="shared" si="21" ref="E31:K31">SUM(E23:E30)</f>
        <v>36365.10285287125</v>
      </c>
      <c r="F31" s="292">
        <f t="shared" si="21"/>
        <v>39063.98100029128</v>
      </c>
      <c r="G31" s="292">
        <f t="shared" si="21"/>
        <v>42032.746962453326</v>
      </c>
      <c r="H31" s="292">
        <f t="shared" si="21"/>
        <v>45298.389520831566</v>
      </c>
      <c r="I31" s="292">
        <f t="shared" si="21"/>
        <v>48890.59633504763</v>
      </c>
      <c r="J31" s="292">
        <f t="shared" si="21"/>
        <v>52842.02383068531</v>
      </c>
      <c r="K31" s="292">
        <f t="shared" si="21"/>
        <v>57188.594075886765</v>
      </c>
    </row>
    <row r="32" spans="1:11" ht="32.25" customHeight="1">
      <c r="A32" s="287" t="s">
        <v>316</v>
      </c>
      <c r="B32" s="288"/>
      <c r="C32" s="288"/>
      <c r="D32" s="290">
        <f aca="true" t="shared" si="22" ref="D32:K32">+D31+D21</f>
        <v>122278.7021828519</v>
      </c>
      <c r="E32" s="290">
        <f t="shared" si="22"/>
        <v>133541.5984911181</v>
      </c>
      <c r="F32" s="290">
        <f t="shared" si="22"/>
        <v>145930.7844302109</v>
      </c>
      <c r="G32" s="290">
        <f t="shared" si="22"/>
        <v>159558.88896321302</v>
      </c>
      <c r="H32" s="290">
        <f t="shared" si="22"/>
        <v>174549.8039495153</v>
      </c>
      <c r="I32" s="290">
        <f t="shared" si="22"/>
        <v>191039.81043444786</v>
      </c>
      <c r="J32" s="290">
        <f t="shared" si="22"/>
        <v>209178.8175678737</v>
      </c>
      <c r="K32" s="290">
        <f t="shared" si="22"/>
        <v>229131.72541464202</v>
      </c>
    </row>
  </sheetData>
  <printOptions/>
  <pageMargins left="0.75" right="0.75" top="1" bottom="1" header="0" footer="0"/>
  <pageSetup fitToHeight="1" fitToWidth="1" horizontalDpi="600" verticalDpi="600" orientation="landscape" paperSize="9" scale="61" r:id="rId2"/>
  <drawing r:id="rId1"/>
</worksheet>
</file>

<file path=xl/worksheets/sheet12.xml><?xml version="1.0" encoding="utf-8"?>
<worksheet xmlns="http://schemas.openxmlformats.org/spreadsheetml/2006/main" xmlns:r="http://schemas.openxmlformats.org/officeDocument/2006/relationships">
  <sheetPr>
    <tabColor indexed="51"/>
  </sheetPr>
  <dimension ref="A1:BK199"/>
  <sheetViews>
    <sheetView tabSelected="1" zoomScale="80" zoomScaleNormal="80" workbookViewId="0" topLeftCell="A58">
      <selection activeCell="I50" sqref="A50:I95"/>
    </sheetView>
  </sheetViews>
  <sheetFormatPr defaultColWidth="11.421875" defaultRowHeight="12.75"/>
  <cols>
    <col min="1" max="1" width="54.421875" style="3" customWidth="1"/>
    <col min="2" max="2" width="14.140625" style="0" bestFit="1" customWidth="1"/>
    <col min="3" max="10" width="13.57421875" style="0" bestFit="1" customWidth="1"/>
    <col min="11" max="47" width="11.421875" style="8" customWidth="1"/>
  </cols>
  <sheetData>
    <row r="1" spans="1:10" ht="12.75">
      <c r="A1" s="216"/>
      <c r="B1" s="20"/>
      <c r="C1" s="20"/>
      <c r="D1" s="20"/>
      <c r="E1" s="20"/>
      <c r="F1" s="20"/>
      <c r="G1" s="20"/>
      <c r="H1" s="20"/>
      <c r="I1" s="20"/>
      <c r="J1" s="20"/>
    </row>
    <row r="2" spans="1:10" ht="12.75">
      <c r="A2" s="216"/>
      <c r="B2" s="20"/>
      <c r="C2" s="20"/>
      <c r="D2" s="20"/>
      <c r="E2" s="20"/>
      <c r="F2" s="20"/>
      <c r="G2" s="20"/>
      <c r="H2" s="20"/>
      <c r="I2" s="20"/>
      <c r="J2" s="20"/>
    </row>
    <row r="3" spans="1:10" ht="12.75">
      <c r="A3" s="216"/>
      <c r="B3" s="20"/>
      <c r="C3" s="20"/>
      <c r="D3" s="20"/>
      <c r="E3" s="20"/>
      <c r="F3" s="20"/>
      <c r="G3" s="20"/>
      <c r="H3" s="20"/>
      <c r="I3" s="20"/>
      <c r="J3" s="20"/>
    </row>
    <row r="4" spans="1:10" ht="13.5" thickBot="1">
      <c r="A4" s="216"/>
      <c r="B4" s="20"/>
      <c r="C4" s="20"/>
      <c r="D4" s="20"/>
      <c r="E4" s="20"/>
      <c r="F4" s="20"/>
      <c r="G4" s="20"/>
      <c r="H4" s="20"/>
      <c r="I4" s="20"/>
      <c r="J4" s="20"/>
    </row>
    <row r="5" spans="1:10" ht="12.75">
      <c r="A5" s="349" t="s">
        <v>235</v>
      </c>
      <c r="B5" s="350"/>
      <c r="C5" s="350"/>
      <c r="D5" s="350"/>
      <c r="E5" s="350"/>
      <c r="F5" s="350"/>
      <c r="G5" s="350"/>
      <c r="H5" s="350"/>
      <c r="I5" s="350"/>
      <c r="J5" s="211"/>
    </row>
    <row r="6" spans="1:10" ht="12.75">
      <c r="A6" s="351"/>
      <c r="B6" s="352"/>
      <c r="C6" s="352"/>
      <c r="D6" s="352"/>
      <c r="E6" s="352"/>
      <c r="F6" s="352"/>
      <c r="G6" s="352"/>
      <c r="H6" s="352"/>
      <c r="I6" s="352"/>
      <c r="J6" s="212"/>
    </row>
    <row r="7" spans="1:10" ht="13.5" thickBot="1">
      <c r="A7" s="213"/>
      <c r="B7" s="214"/>
      <c r="C7" s="214"/>
      <c r="D7" s="214"/>
      <c r="E7" s="214"/>
      <c r="F7" s="214"/>
      <c r="G7" s="214"/>
      <c r="H7" s="214"/>
      <c r="I7" s="214"/>
      <c r="J7" s="215"/>
    </row>
    <row r="8" spans="1:47" s="1" customFormat="1" ht="12.75">
      <c r="A8" s="209"/>
      <c r="B8" s="210">
        <v>2010</v>
      </c>
      <c r="C8" s="210">
        <v>2011</v>
      </c>
      <c r="D8" s="210">
        <v>2012</v>
      </c>
      <c r="E8" s="210">
        <v>2013</v>
      </c>
      <c r="F8" s="210">
        <v>2014</v>
      </c>
      <c r="G8" s="210">
        <v>2015</v>
      </c>
      <c r="H8" s="210">
        <v>2016</v>
      </c>
      <c r="I8" s="210">
        <v>2017</v>
      </c>
      <c r="J8" s="210">
        <v>2018</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47" s="1" customFormat="1" ht="12.75">
      <c r="A9" s="209"/>
      <c r="B9" s="210">
        <v>-1</v>
      </c>
      <c r="C9" s="210">
        <v>1</v>
      </c>
      <c r="D9" s="210">
        <v>2</v>
      </c>
      <c r="E9" s="210">
        <v>3</v>
      </c>
      <c r="F9" s="210">
        <v>4</v>
      </c>
      <c r="G9" s="210">
        <v>5</v>
      </c>
      <c r="H9" s="210">
        <v>6</v>
      </c>
      <c r="I9" s="210">
        <v>7</v>
      </c>
      <c r="J9" s="210">
        <v>8</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47" s="1" customFormat="1" ht="12.75">
      <c r="A10" s="312" t="s">
        <v>325</v>
      </c>
      <c r="B10" s="210"/>
      <c r="C10" s="210"/>
      <c r="D10" s="210"/>
      <c r="E10" s="210"/>
      <c r="F10" s="210"/>
      <c r="G10" s="210"/>
      <c r="H10" s="210"/>
      <c r="I10" s="210"/>
      <c r="J10" s="210"/>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row>
    <row r="11" spans="1:10" ht="12.75">
      <c r="A11" s="173" t="s">
        <v>322</v>
      </c>
      <c r="B11" s="310"/>
      <c r="C11" s="311">
        <f>+IPV!C17</f>
        <v>125878.59727724337</v>
      </c>
      <c r="D11" s="311">
        <f>+IPV!D17</f>
        <v>138466.45700496773</v>
      </c>
      <c r="E11" s="311">
        <f>+IPV!E17</f>
        <v>152313.1027054645</v>
      </c>
      <c r="F11" s="311">
        <f>+IPV!F17</f>
        <v>167544.41297601094</v>
      </c>
      <c r="G11" s="311">
        <f>+IPV!G17</f>
        <v>184298.85427361203</v>
      </c>
      <c r="H11" s="311">
        <f>+IPV!H17</f>
        <v>202728.73970097324</v>
      </c>
      <c r="I11" s="311">
        <f>+IPV!I17</f>
        <v>223001.61367107055</v>
      </c>
      <c r="J11" s="299">
        <f>+IPV!J17</f>
        <v>245301.7750381776</v>
      </c>
    </row>
    <row r="12" spans="1:10" ht="12.75">
      <c r="A12" s="173" t="s">
        <v>323</v>
      </c>
      <c r="B12" s="310"/>
      <c r="C12" s="311">
        <f>+IPV!C18</f>
        <v>9571.183830982594</v>
      </c>
      <c r="D12" s="311">
        <f>+IPV!D18</f>
        <v>10528.302214080853</v>
      </c>
      <c r="E12" s="311">
        <f>+IPV!E18</f>
        <v>11581.132435488938</v>
      </c>
      <c r="F12" s="311">
        <f>+IPV!F18</f>
        <v>12739.245679037833</v>
      </c>
      <c r="G12" s="311">
        <f>+IPV!G18</f>
        <v>14013.170246941616</v>
      </c>
      <c r="H12" s="311">
        <f>+IPV!H18</f>
        <v>15414.487271635779</v>
      </c>
      <c r="I12" s="311">
        <f>+IPV!I18</f>
        <v>16955.935998799356</v>
      </c>
      <c r="J12" s="299">
        <f>+IPV!J18</f>
        <v>18651.52959867929</v>
      </c>
    </row>
    <row r="13" spans="1:10" ht="12.75">
      <c r="A13" s="173" t="s">
        <v>324</v>
      </c>
      <c r="B13" s="297"/>
      <c r="C13" s="315">
        <f>SUM(C11:C12)</f>
        <v>135449.78110822596</v>
      </c>
      <c r="D13" s="315">
        <f aca="true" t="shared" si="0" ref="D13:J13">SUM(D11:D12)</f>
        <v>148994.75921904857</v>
      </c>
      <c r="E13" s="315">
        <f t="shared" si="0"/>
        <v>163894.23514095345</v>
      </c>
      <c r="F13" s="315">
        <f t="shared" si="0"/>
        <v>180283.65865504876</v>
      </c>
      <c r="G13" s="315">
        <f t="shared" si="0"/>
        <v>198312.02452055365</v>
      </c>
      <c r="H13" s="315">
        <f t="shared" si="0"/>
        <v>218143.226972609</v>
      </c>
      <c r="I13" s="315">
        <f t="shared" si="0"/>
        <v>239957.5496698699</v>
      </c>
      <c r="J13" s="315">
        <f t="shared" si="0"/>
        <v>263953.3046368569</v>
      </c>
    </row>
    <row r="14" spans="1:10" ht="12.75">
      <c r="A14" s="313" t="s">
        <v>326</v>
      </c>
      <c r="B14" s="310"/>
      <c r="C14" s="311"/>
      <c r="D14" s="311"/>
      <c r="E14" s="311"/>
      <c r="F14" s="311"/>
      <c r="G14" s="311"/>
      <c r="H14" s="311"/>
      <c r="I14" s="311"/>
      <c r="J14" s="311"/>
    </row>
    <row r="15" spans="1:10" ht="12.75">
      <c r="A15" s="168" t="s">
        <v>330</v>
      </c>
      <c r="B15" s="297"/>
      <c r="C15" s="297">
        <f>-'Flujo Egresos anuales'!D21-'Flujo Egresos anuales'!D8</f>
        <v>-88640.5426400633</v>
      </c>
      <c r="D15" s="297">
        <f>-'Flujo Egresos anuales'!E21-'Flujo Egresos anuales'!E8</f>
        <v>-97449.91335976582</v>
      </c>
      <c r="E15" s="297">
        <f>-'Flujo Egresos anuales'!F21-'Flujo Egresos anuales'!F8</f>
        <v>-107140.2211514386</v>
      </c>
      <c r="F15" s="297">
        <f>-'Flujo Egresos anuales'!G21-'Flujo Egresos anuales'!G8</f>
        <v>-117799.55972227867</v>
      </c>
      <c r="G15" s="297">
        <f>-'Flujo Egresos anuales'!H21-'Flujo Egresos anuales'!H8</f>
        <v>-129524.83215020272</v>
      </c>
      <c r="H15" s="297">
        <f>-'Flujo Egresos anuales'!I21-'Flujo Egresos anuales'!I8</f>
        <v>-142422.63182091922</v>
      </c>
      <c r="I15" s="297">
        <f>-'Flujo Egresos anuales'!J21-'Flujo Egresos anuales'!J8</f>
        <v>-156610.21145870734</v>
      </c>
      <c r="J15" s="297">
        <f>-'Flujo Egresos anuales'!K21-'Flujo Egresos anuales'!K8</f>
        <v>-172216.54906027424</v>
      </c>
    </row>
    <row r="16" spans="1:10" ht="12.75">
      <c r="A16" s="168"/>
      <c r="B16" s="310"/>
      <c r="C16" s="310"/>
      <c r="D16" s="310"/>
      <c r="E16" s="310"/>
      <c r="F16" s="310"/>
      <c r="G16" s="310"/>
      <c r="H16" s="310"/>
      <c r="I16" s="310"/>
      <c r="J16" s="310"/>
    </row>
    <row r="17" spans="1:10" ht="12.75">
      <c r="A17" s="168" t="s">
        <v>331</v>
      </c>
      <c r="B17" s="297"/>
      <c r="C17" s="297">
        <f>-'Flujo Egresos anuales'!D31-'Flujo Egresos anuales'!D27</f>
        <v>-34724.27595095694</v>
      </c>
      <c r="D17" s="297">
        <f>-'Flujo Egresos anuales'!E31-'Flujo Egresos anuales'!E27</f>
        <v>-37259.07140818554</v>
      </c>
      <c r="E17" s="297">
        <f>-'Flujo Egresos anuales'!F31-'Flujo Egresos anuales'!F27</f>
        <v>-40047.346411137</v>
      </c>
      <c r="F17" s="297">
        <f>-'Flujo Egresos anuales'!G31-'Flujo Egresos anuales'!G27</f>
        <v>-43114.44891438362</v>
      </c>
      <c r="G17" s="297">
        <f>-'Flujo Egresos anuales'!H31-'Flujo Egresos anuales'!H27</f>
        <v>-46488.26166795489</v>
      </c>
      <c r="H17" s="297">
        <f>-'Flujo Egresos anuales'!I31-'Flujo Egresos anuales'!I27</f>
        <v>-50199.455696883284</v>
      </c>
      <c r="I17" s="297">
        <f>-'Flujo Egresos anuales'!J31-'Flujo Egresos anuales'!J27</f>
        <v>-54281.76912870453</v>
      </c>
      <c r="J17" s="297">
        <f>-'Flujo Egresos anuales'!K31-'Flujo Egresos anuales'!K27</f>
        <v>-58772.31390370791</v>
      </c>
    </row>
    <row r="18" spans="1:10" ht="12.75">
      <c r="A18" s="168"/>
      <c r="B18" s="310"/>
      <c r="C18" s="2"/>
      <c r="D18" s="2"/>
      <c r="E18" s="2"/>
      <c r="F18" s="2"/>
      <c r="G18" s="2"/>
      <c r="H18" s="2"/>
      <c r="I18" s="2"/>
      <c r="J18" s="2"/>
    </row>
    <row r="19" spans="1:10" ht="12.75">
      <c r="A19" s="168" t="s">
        <v>329</v>
      </c>
      <c r="B19" s="297"/>
      <c r="C19" s="297">
        <f aca="true" t="shared" si="1" ref="C19:J19">+C15+C17</f>
        <v>-123364.81859102024</v>
      </c>
      <c r="D19" s="297">
        <f t="shared" si="1"/>
        <v>-134708.98476795136</v>
      </c>
      <c r="E19" s="297">
        <f t="shared" si="1"/>
        <v>-147187.5675625756</v>
      </c>
      <c r="F19" s="297">
        <f t="shared" si="1"/>
        <v>-160914.0086366623</v>
      </c>
      <c r="G19" s="297">
        <f t="shared" si="1"/>
        <v>-176013.09381815762</v>
      </c>
      <c r="H19" s="297">
        <f t="shared" si="1"/>
        <v>-192622.08751780252</v>
      </c>
      <c r="I19" s="297">
        <f t="shared" si="1"/>
        <v>-210891.98058741188</v>
      </c>
      <c r="J19" s="297">
        <f t="shared" si="1"/>
        <v>-230988.86296398216</v>
      </c>
    </row>
    <row r="20" spans="1:10" ht="12.75">
      <c r="A20" s="173" t="s">
        <v>50</v>
      </c>
      <c r="B20" s="310"/>
      <c r="C20" s="310">
        <f>'Amortización Crédito'!D18</f>
        <v>9512.343045410837</v>
      </c>
      <c r="D20" s="310">
        <f>'Amortización Crédito'!D19</f>
        <v>9750.151621546107</v>
      </c>
      <c r="E20" s="310">
        <f>'Amortización Crédito'!D20</f>
        <v>9993.90541208476</v>
      </c>
      <c r="F20" s="310">
        <f>'Amortización Crédito'!D21</f>
        <v>10243.75304738688</v>
      </c>
      <c r="G20" s="310">
        <f>'Amortización Crédito'!D22</f>
        <v>10499.84687357155</v>
      </c>
      <c r="H20" s="310"/>
      <c r="I20" s="310"/>
      <c r="J20" s="289"/>
    </row>
    <row r="21" spans="1:10" ht="12.75">
      <c r="A21" s="168" t="s">
        <v>369</v>
      </c>
      <c r="B21" s="297"/>
      <c r="C21" s="297">
        <f aca="true" t="shared" si="2" ref="C21:J21">+C13+C19+C20</f>
        <v>21597.30556261655</v>
      </c>
      <c r="D21" s="297">
        <f t="shared" si="2"/>
        <v>24035.92607264332</v>
      </c>
      <c r="E21" s="297">
        <f t="shared" si="2"/>
        <v>26700.572990462606</v>
      </c>
      <c r="F21" s="297">
        <f t="shared" si="2"/>
        <v>29613.403065773335</v>
      </c>
      <c r="G21" s="297">
        <f t="shared" si="2"/>
        <v>32798.77757596758</v>
      </c>
      <c r="H21" s="297">
        <f t="shared" si="2"/>
        <v>25521.139454806485</v>
      </c>
      <c r="I21" s="297">
        <f t="shared" si="2"/>
        <v>29065.569082458038</v>
      </c>
      <c r="J21" s="297">
        <f t="shared" si="2"/>
        <v>32964.44167287473</v>
      </c>
    </row>
    <row r="22" spans="1:10" ht="12.75">
      <c r="A22" s="168"/>
      <c r="B22" s="310"/>
      <c r="C22" s="289"/>
      <c r="D22" s="289"/>
      <c r="E22" s="289"/>
      <c r="F22" s="289"/>
      <c r="G22" s="289"/>
      <c r="H22" s="289"/>
      <c r="I22" s="289"/>
      <c r="J22" s="289"/>
    </row>
    <row r="23" spans="1:10" ht="12.75">
      <c r="A23" s="173" t="s">
        <v>53</v>
      </c>
      <c r="B23" s="310"/>
      <c r="C23" s="310">
        <f>'Amortización Crédito'!C18</f>
        <v>1250</v>
      </c>
      <c r="D23" s="310">
        <f>'Amortización Crédito'!C19</f>
        <v>1012.1914238647291</v>
      </c>
      <c r="E23" s="310">
        <f>'Amortización Crédito'!C20</f>
        <v>768.4376333260764</v>
      </c>
      <c r="F23" s="310">
        <f>'Amortización Crédito'!C21</f>
        <v>518.5899980239574</v>
      </c>
      <c r="G23" s="310">
        <f>'Amortización Crédito'!C22</f>
        <v>262.4961718392854</v>
      </c>
      <c r="H23" s="310"/>
      <c r="I23" s="310"/>
      <c r="J23" s="289"/>
    </row>
    <row r="24" spans="1:10" ht="12.75">
      <c r="A24" s="173" t="s">
        <v>332</v>
      </c>
      <c r="B24" s="310"/>
      <c r="C24" s="310">
        <f>-'Flujo Egresos anuales'!$D$8</f>
        <v>-273.4177215189874</v>
      </c>
      <c r="D24" s="310">
        <f>-'Flujo Egresos anuales'!$D$8</f>
        <v>-273.4177215189874</v>
      </c>
      <c r="E24" s="310">
        <f>-'Flujo Egresos anuales'!$D$8</f>
        <v>-273.4177215189874</v>
      </c>
      <c r="F24" s="310">
        <f>-'Flujo Egresos anuales'!$D$8</f>
        <v>-273.4177215189874</v>
      </c>
      <c r="G24" s="310">
        <f>-'Flujo Egresos anuales'!$D$8</f>
        <v>-273.4177215189874</v>
      </c>
      <c r="H24" s="310">
        <f>-'Flujo Egresos anuales'!$D$8</f>
        <v>-273.4177215189874</v>
      </c>
      <c r="I24" s="310">
        <f>-'Flujo Egresos anuales'!$D$8</f>
        <v>-273.4177215189874</v>
      </c>
      <c r="J24" s="310">
        <f>-'Flujo Egresos anuales'!$D$8</f>
        <v>-273.4177215189874</v>
      </c>
    </row>
    <row r="25" spans="1:10" ht="12.75">
      <c r="A25" s="173" t="s">
        <v>343</v>
      </c>
      <c r="B25" s="310"/>
      <c r="C25" s="310">
        <f>+'Flujo Egresos anuales'!D27</f>
        <v>812.6986866493557</v>
      </c>
      <c r="D25" s="310">
        <f>+'Flujo Egresos anuales'!E27</f>
        <v>893.9685553142915</v>
      </c>
      <c r="E25" s="310">
        <f>+'Flujo Egresos anuales'!F27</f>
        <v>983.3654108457207</v>
      </c>
      <c r="F25" s="310">
        <f>+'Flujo Egresos anuales'!G27</f>
        <v>1081.7019519302926</v>
      </c>
      <c r="G25" s="310">
        <f>+'Flujo Egresos anuales'!H27</f>
        <v>1189.8721471233218</v>
      </c>
      <c r="H25" s="310">
        <f>+'Flujo Egresos anuales'!I27</f>
        <v>1308.859361835654</v>
      </c>
      <c r="I25" s="310">
        <f>+'Flujo Egresos anuales'!J27</f>
        <v>1439.7452980192195</v>
      </c>
      <c r="J25" s="310">
        <f>+'Flujo Egresos anuales'!K27</f>
        <v>1583.7198278211413</v>
      </c>
    </row>
    <row r="26" spans="1:10" ht="12.75">
      <c r="A26" s="173" t="s">
        <v>1</v>
      </c>
      <c r="B26" s="2"/>
      <c r="C26" s="310">
        <f>Depreciaciones!D20</f>
        <v>4291.678215611814</v>
      </c>
      <c r="D26" s="310">
        <f aca="true" t="shared" si="3" ref="D26:J26">C26</f>
        <v>4291.678215611814</v>
      </c>
      <c r="E26" s="310">
        <f t="shared" si="3"/>
        <v>4291.678215611814</v>
      </c>
      <c r="F26" s="310">
        <f t="shared" si="3"/>
        <v>4291.678215611814</v>
      </c>
      <c r="G26" s="310">
        <f t="shared" si="3"/>
        <v>4291.678215611814</v>
      </c>
      <c r="H26" s="310">
        <f t="shared" si="3"/>
        <v>4291.678215611814</v>
      </c>
      <c r="I26" s="310">
        <f t="shared" si="3"/>
        <v>4291.678215611814</v>
      </c>
      <c r="J26" s="289">
        <f t="shared" si="3"/>
        <v>4291.678215611814</v>
      </c>
    </row>
    <row r="27" spans="1:10" ht="12.75">
      <c r="A27" s="173" t="s">
        <v>52</v>
      </c>
      <c r="B27" s="310">
        <v>50000</v>
      </c>
      <c r="C27" s="310"/>
      <c r="D27" s="310"/>
      <c r="E27" s="310"/>
      <c r="F27" s="310"/>
      <c r="G27" s="310"/>
      <c r="H27" s="310"/>
      <c r="I27" s="310"/>
      <c r="J27" s="289"/>
    </row>
    <row r="28" spans="1:10" ht="12.75">
      <c r="A28" s="173" t="s">
        <v>342</v>
      </c>
      <c r="B28" s="297"/>
      <c r="C28" s="297">
        <f>+C21+C23+C24+C26+C25</f>
        <v>27678.264743358734</v>
      </c>
      <c r="D28" s="297">
        <f aca="true" t="shared" si="4" ref="D28:J28">+D21+D23+D24+D26+D25</f>
        <v>29960.346545915167</v>
      </c>
      <c r="E28" s="297">
        <f>+E21+E23+E24+E26+E25</f>
        <v>32470.636528727227</v>
      </c>
      <c r="F28" s="297">
        <f t="shared" si="4"/>
        <v>35231.955509820415</v>
      </c>
      <c r="G28" s="297">
        <f t="shared" si="4"/>
        <v>38269.40638902302</v>
      </c>
      <c r="H28" s="297">
        <f t="shared" si="4"/>
        <v>30848.259310734964</v>
      </c>
      <c r="I28" s="297">
        <f t="shared" si="4"/>
        <v>34523.574874570084</v>
      </c>
      <c r="J28" s="297">
        <f t="shared" si="4"/>
        <v>38566.4219947887</v>
      </c>
    </row>
    <row r="29" spans="1:10" ht="12.75">
      <c r="A29" s="173" t="s">
        <v>231</v>
      </c>
      <c r="B29" s="310"/>
      <c r="C29" s="310">
        <f>+C28*0.35</f>
        <v>9687.392660175556</v>
      </c>
      <c r="D29" s="310">
        <f aca="true" t="shared" si="5" ref="D29:J29">+D28*0.35</f>
        <v>10486.121291070307</v>
      </c>
      <c r="E29" s="310">
        <f t="shared" si="5"/>
        <v>11364.72278505453</v>
      </c>
      <c r="F29" s="310">
        <f t="shared" si="5"/>
        <v>12331.184428437144</v>
      </c>
      <c r="G29" s="310">
        <f t="shared" si="5"/>
        <v>13394.292236158055</v>
      </c>
      <c r="H29" s="310">
        <f t="shared" si="5"/>
        <v>10796.890758757238</v>
      </c>
      <c r="I29" s="310">
        <f t="shared" si="5"/>
        <v>12083.251206099529</v>
      </c>
      <c r="J29" s="310">
        <f t="shared" si="5"/>
        <v>13498.247698176045</v>
      </c>
    </row>
    <row r="30" spans="1:10" ht="12.75">
      <c r="A30" s="173" t="s">
        <v>50</v>
      </c>
      <c r="B30" s="310"/>
      <c r="C30" s="310">
        <f>-C20</f>
        <v>-9512.343045410837</v>
      </c>
      <c r="D30" s="310">
        <f>-D20</f>
        <v>-9750.151621546107</v>
      </c>
      <c r="E30" s="310">
        <f>-E20</f>
        <v>-9993.90541208476</v>
      </c>
      <c r="F30" s="310">
        <f>-F20</f>
        <v>-10243.75304738688</v>
      </c>
      <c r="G30" s="310">
        <f>-G20</f>
        <v>-10499.84687357155</v>
      </c>
      <c r="H30" s="310"/>
      <c r="I30" s="310"/>
      <c r="J30" s="289"/>
    </row>
    <row r="31" spans="1:10" ht="12.75">
      <c r="A31" s="173"/>
      <c r="B31" s="310"/>
      <c r="C31" s="310"/>
      <c r="D31" s="310"/>
      <c r="E31" s="310"/>
      <c r="F31" s="310"/>
      <c r="G31" s="310"/>
      <c r="H31" s="310"/>
      <c r="I31" s="310"/>
      <c r="J31" s="289"/>
    </row>
    <row r="32" spans="1:10" ht="12.75">
      <c r="A32" s="173" t="s">
        <v>0</v>
      </c>
      <c r="B32" s="297"/>
      <c r="C32" s="297">
        <f>+C28+C29+C30</f>
        <v>27853.314358123454</v>
      </c>
      <c r="D32" s="297">
        <f>+D28+D29+D30</f>
        <v>30696.316215439365</v>
      </c>
      <c r="E32" s="297">
        <f aca="true" t="shared" si="6" ref="E32:J32">+E28+E29+E30</f>
        <v>33841.453901697</v>
      </c>
      <c r="F32" s="297">
        <f t="shared" si="6"/>
        <v>37319.38689087068</v>
      </c>
      <c r="G32" s="297">
        <f t="shared" si="6"/>
        <v>41163.85175160952</v>
      </c>
      <c r="H32" s="297">
        <f t="shared" si="6"/>
        <v>41645.1500694922</v>
      </c>
      <c r="I32" s="297">
        <f t="shared" si="6"/>
        <v>46606.82608066961</v>
      </c>
      <c r="J32" s="297">
        <f t="shared" si="6"/>
        <v>52064.669692964744</v>
      </c>
    </row>
    <row r="33" spans="1:10" ht="12.75">
      <c r="A33" s="173" t="s">
        <v>351</v>
      </c>
      <c r="B33" s="310">
        <f>-'Estructura de Inversión'!G28</f>
        <v>-74488.92626278481</v>
      </c>
      <c r="C33" s="310"/>
      <c r="D33" s="310"/>
      <c r="E33" s="310"/>
      <c r="F33" s="310"/>
      <c r="G33" s="310"/>
      <c r="H33" s="310"/>
      <c r="I33" s="310"/>
      <c r="J33" s="310"/>
    </row>
    <row r="34" spans="1:10" ht="12.75">
      <c r="A34" s="173" t="s">
        <v>352</v>
      </c>
      <c r="B34" s="310">
        <f>-'Estructura de Inversión'!G43</f>
        <v>-11808.097118734177</v>
      </c>
      <c r="C34" s="310"/>
      <c r="D34" s="310"/>
      <c r="E34" s="310"/>
      <c r="F34" s="310"/>
      <c r="G34" s="310"/>
      <c r="H34" s="310"/>
      <c r="I34" s="310"/>
      <c r="J34" s="310"/>
    </row>
    <row r="35" spans="1:10" ht="12.75">
      <c r="A35" s="173" t="s">
        <v>353</v>
      </c>
      <c r="B35" s="310">
        <f>-'Estructura de Inversión'!G58</f>
        <v>-12339.8946</v>
      </c>
      <c r="C35" s="310"/>
      <c r="D35" s="310"/>
      <c r="E35" s="310"/>
      <c r="F35" s="310"/>
      <c r="G35" s="310"/>
      <c r="H35" s="310"/>
      <c r="I35" s="310"/>
      <c r="J35" s="310"/>
    </row>
    <row r="36" spans="1:10" ht="12.75">
      <c r="A36" s="173" t="s">
        <v>2</v>
      </c>
      <c r="C36" s="310">
        <f>-Reinversiones!H29</f>
        <v>-70</v>
      </c>
      <c r="D36" s="310">
        <f>-Reinversiones!I29</f>
        <v>-200</v>
      </c>
      <c r="E36" s="310">
        <f>-Reinversiones!J29</f>
        <v>-3070</v>
      </c>
      <c r="F36" s="310">
        <f>-Reinversiones!K29</f>
        <v>-6200</v>
      </c>
      <c r="G36" s="310">
        <f>-Reinversiones!L29</f>
        <v>-3070</v>
      </c>
      <c r="H36" s="310">
        <f>-Reinversiones!M29</f>
        <v>-5300</v>
      </c>
      <c r="I36" s="310">
        <f>-Reinversiones!N29</f>
        <v>-2770</v>
      </c>
      <c r="J36" s="289">
        <f>-Reinversiones!O29</f>
        <v>-1400</v>
      </c>
    </row>
    <row r="37" spans="1:47" s="6" customFormat="1" ht="12.75">
      <c r="A37" s="173" t="s">
        <v>354</v>
      </c>
      <c r="B37" s="310">
        <v>-50000</v>
      </c>
      <c r="C37" s="310"/>
      <c r="D37" s="310"/>
      <c r="E37" s="310"/>
      <c r="F37" s="310"/>
      <c r="G37" s="310"/>
      <c r="H37" s="310"/>
      <c r="I37" s="310"/>
      <c r="J37" s="289"/>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63" s="2" customFormat="1" ht="12.75">
      <c r="A38" s="173" t="s">
        <v>3</v>
      </c>
      <c r="B38" s="310"/>
      <c r="C38" s="310"/>
      <c r="D38" s="310"/>
      <c r="E38" s="310"/>
      <c r="F38" s="310"/>
      <c r="G38" s="310"/>
      <c r="H38" s="310"/>
      <c r="I38" s="310"/>
      <c r="J38" s="289">
        <f>Depreciaciones!F20</f>
        <v>13111.497097890295</v>
      </c>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6"/>
      <c r="AW38" s="6"/>
      <c r="AX38" s="6"/>
      <c r="AY38" s="6"/>
      <c r="AZ38" s="6"/>
      <c r="BA38" s="6"/>
      <c r="BB38" s="6"/>
      <c r="BC38" s="6"/>
      <c r="BD38" s="6"/>
      <c r="BE38" s="6"/>
      <c r="BF38" s="6"/>
      <c r="BG38" s="6"/>
      <c r="BH38" s="6"/>
      <c r="BI38" s="6"/>
      <c r="BJ38" s="6"/>
      <c r="BK38" s="6"/>
    </row>
    <row r="39" spans="1:63" s="2" customFormat="1" ht="12.75">
      <c r="A39" s="205" t="s">
        <v>51</v>
      </c>
      <c r="B39" s="297">
        <f>+B27+B33+B34+B35+B37</f>
        <v>-98636.91798151899</v>
      </c>
      <c r="C39" s="316">
        <f aca="true" t="shared" si="7" ref="C39:J39">+C32+C36</f>
        <v>27783.314358123454</v>
      </c>
      <c r="D39" s="316">
        <f t="shared" si="7"/>
        <v>30496.316215439365</v>
      </c>
      <c r="E39" s="316">
        <f t="shared" si="7"/>
        <v>30771.453901697</v>
      </c>
      <c r="F39" s="316">
        <f t="shared" si="7"/>
        <v>31119.38689087068</v>
      </c>
      <c r="G39" s="316">
        <f t="shared" si="7"/>
        <v>38093.85175160952</v>
      </c>
      <c r="H39" s="316">
        <f t="shared" si="7"/>
        <v>36345.1500694922</v>
      </c>
      <c r="I39" s="316">
        <f t="shared" si="7"/>
        <v>43836.82608066961</v>
      </c>
      <c r="J39" s="316">
        <f t="shared" si="7"/>
        <v>50664.669692964744</v>
      </c>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6"/>
      <c r="AW39" s="6"/>
      <c r="AX39" s="6"/>
      <c r="AY39" s="6"/>
      <c r="AZ39" s="6"/>
      <c r="BA39" s="6"/>
      <c r="BB39" s="6"/>
      <c r="BC39" s="6"/>
      <c r="BD39" s="6"/>
      <c r="BE39" s="6"/>
      <c r="BF39" s="6"/>
      <c r="BG39" s="6"/>
      <c r="BH39" s="6"/>
      <c r="BI39" s="6"/>
      <c r="BJ39" s="6"/>
      <c r="BK39" s="6"/>
    </row>
    <row r="40" spans="1:47" s="6" customFormat="1" ht="12.75">
      <c r="A40" s="173" t="s">
        <v>232</v>
      </c>
      <c r="B40" s="297">
        <f>+B39</f>
        <v>-98636.91798151899</v>
      </c>
      <c r="C40" s="297">
        <f>+C39/(1+0.15)^1</f>
        <v>24159.40378967257</v>
      </c>
      <c r="D40" s="297">
        <f>+D39/(1+0.15)^2</f>
        <v>23059.59638218478</v>
      </c>
      <c r="E40" s="297">
        <f>+E39/(1+0.15)^3</f>
        <v>20232.730435898422</v>
      </c>
      <c r="F40" s="297">
        <f>+F39/(1+0.15)^4</f>
        <v>17792.610455720605</v>
      </c>
      <c r="G40" s="297">
        <f>+G39/(1+0.15)^5</f>
        <v>18939.376848802265</v>
      </c>
      <c r="H40" s="297">
        <f>+H39/(1+0.15)^6</f>
        <v>15713.011352588303</v>
      </c>
      <c r="I40" s="297">
        <f>+I39/(1+0.15)^7</f>
        <v>16479.88663639036</v>
      </c>
      <c r="J40" s="297">
        <f>+J39/(1+0.15)^8</f>
        <v>16562.37039396034</v>
      </c>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47" s="6" customFormat="1" ht="12.75">
      <c r="A41" s="205" t="s">
        <v>233</v>
      </c>
      <c r="B41" s="297">
        <f>+B40</f>
        <v>-98636.91798151899</v>
      </c>
      <c r="C41" s="297">
        <f>+B41+C40</f>
        <v>-74477.51419184642</v>
      </c>
      <c r="D41" s="297">
        <f aca="true" t="shared" si="8" ref="D41:J41">+C41+D40</f>
        <v>-51417.91780966164</v>
      </c>
      <c r="E41" s="297">
        <f t="shared" si="8"/>
        <v>-31185.187373763216</v>
      </c>
      <c r="F41" s="297">
        <f t="shared" si="8"/>
        <v>-13392.57691804261</v>
      </c>
      <c r="G41" s="297">
        <f t="shared" si="8"/>
        <v>5546.799930759655</v>
      </c>
      <c r="H41" s="297">
        <f t="shared" si="8"/>
        <v>21259.811283347957</v>
      </c>
      <c r="I41" s="297">
        <f t="shared" si="8"/>
        <v>37739.69791973832</v>
      </c>
      <c r="J41" s="297">
        <f t="shared" si="8"/>
        <v>54302.06831369866</v>
      </c>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row>
    <row r="42" spans="1:10" ht="12.75">
      <c r="A42" s="208"/>
      <c r="C42" s="207"/>
      <c r="D42" s="207"/>
      <c r="E42" s="207"/>
      <c r="F42" s="207"/>
      <c r="G42" s="207"/>
      <c r="H42" s="207"/>
      <c r="I42" s="207"/>
      <c r="J42" s="207"/>
    </row>
    <row r="43" spans="1:47" s="5" customFormat="1" ht="15.75" thickBot="1">
      <c r="A43" s="328" t="s">
        <v>234</v>
      </c>
      <c r="B43" s="327"/>
      <c r="C43" s="207"/>
      <c r="D43" s="207"/>
      <c r="E43" s="207"/>
      <c r="F43" s="207"/>
      <c r="G43" s="207"/>
      <c r="H43" s="207"/>
      <c r="I43" s="207"/>
      <c r="J43" s="207"/>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1:47" s="6" customFormat="1" ht="15.75" thickBot="1">
      <c r="A44" s="329" t="s">
        <v>341</v>
      </c>
      <c r="B44" s="330">
        <v>0.15</v>
      </c>
      <c r="C44" s="207"/>
      <c r="D44" s="207"/>
      <c r="E44" s="207"/>
      <c r="F44" s="207"/>
      <c r="G44" s="207"/>
      <c r="H44" s="207"/>
      <c r="I44" s="207"/>
      <c r="J44" s="207"/>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row>
    <row r="45" spans="1:47" s="9" customFormat="1" ht="15">
      <c r="A45" s="331" t="s">
        <v>340</v>
      </c>
      <c r="B45" s="332">
        <f>NPV(15%,C39:J39)+B39</f>
        <v>54302.06831369863</v>
      </c>
      <c r="C45" s="207"/>
      <c r="D45" s="8"/>
      <c r="E45" s="8"/>
      <c r="F45" s="8"/>
      <c r="G45" s="8"/>
      <c r="H45" s="207"/>
      <c r="I45" s="207"/>
      <c r="J45" s="207"/>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row>
    <row r="46" spans="1:7" s="8" customFormat="1" ht="15">
      <c r="A46" s="333" t="s">
        <v>4</v>
      </c>
      <c r="B46" s="330">
        <f>IRR(B39:J39)</f>
        <v>0.2875531467788183</v>
      </c>
      <c r="D46" s="252"/>
      <c r="E46" s="252"/>
      <c r="F46" s="252"/>
      <c r="G46" s="253"/>
    </row>
    <row r="47" spans="1:7" s="8" customFormat="1" ht="12.75">
      <c r="A47" s="325"/>
      <c r="B47" s="326"/>
      <c r="D47" s="252"/>
      <c r="E47" s="252"/>
      <c r="F47" s="252"/>
      <c r="G47" s="253"/>
    </row>
    <row r="48" spans="1:10" ht="12.75">
      <c r="A48" s="251" t="s">
        <v>298</v>
      </c>
      <c r="B48" s="8"/>
      <c r="C48" s="8"/>
      <c r="D48" s="8"/>
      <c r="E48" s="8"/>
      <c r="F48" s="8"/>
      <c r="G48" s="8"/>
      <c r="H48" s="8"/>
      <c r="I48" s="38"/>
      <c r="J48" s="8"/>
    </row>
    <row r="49" spans="1:10" ht="12.75">
      <c r="A49" s="7"/>
      <c r="B49" s="8"/>
      <c r="C49" s="8"/>
      <c r="D49" s="8"/>
      <c r="E49" s="8"/>
      <c r="F49" s="8"/>
      <c r="G49" s="8"/>
      <c r="H49" s="8"/>
      <c r="I49" s="8"/>
      <c r="J49" s="8"/>
    </row>
    <row r="50" spans="1:10" ht="12.75">
      <c r="A50" s="7"/>
      <c r="B50" s="8"/>
      <c r="C50" s="8"/>
      <c r="D50" s="8"/>
      <c r="E50" s="8"/>
      <c r="F50" s="8"/>
      <c r="G50" s="8"/>
      <c r="H50" s="8"/>
      <c r="I50" s="8"/>
      <c r="J50" s="8"/>
    </row>
    <row r="51" spans="1:10" ht="12.75">
      <c r="A51" s="7"/>
      <c r="B51" s="8"/>
      <c r="C51" s="8"/>
      <c r="D51" s="8"/>
      <c r="E51" s="8"/>
      <c r="F51" s="8"/>
      <c r="G51" s="8"/>
      <c r="H51" s="8"/>
      <c r="I51" s="8"/>
      <c r="J51" s="8"/>
    </row>
    <row r="52" spans="1:10" ht="12.75">
      <c r="A52" s="7"/>
      <c r="B52" s="8"/>
      <c r="C52" s="8"/>
      <c r="D52" s="8"/>
      <c r="E52" s="8"/>
      <c r="F52" s="8"/>
      <c r="G52" s="8"/>
      <c r="H52" s="8"/>
      <c r="I52" s="8"/>
      <c r="J52" s="8"/>
    </row>
    <row r="53" spans="1:10" ht="12.75">
      <c r="A53" s="7"/>
      <c r="B53" s="8"/>
      <c r="C53" s="8"/>
      <c r="D53" s="8"/>
      <c r="E53" s="8"/>
      <c r="F53" s="8"/>
      <c r="G53" s="8"/>
      <c r="H53" s="8"/>
      <c r="I53" s="8"/>
      <c r="J53" s="8"/>
    </row>
    <row r="54" spans="1:10" ht="12" customHeight="1">
      <c r="A54" s="7"/>
      <c r="B54" s="8"/>
      <c r="C54" s="8"/>
      <c r="D54" s="8"/>
      <c r="E54" s="8"/>
      <c r="F54" s="8"/>
      <c r="G54" s="8"/>
      <c r="H54" s="8"/>
      <c r="I54" s="8"/>
      <c r="J54" s="8"/>
    </row>
    <row r="55" spans="1:10" ht="12.75">
      <c r="A55" s="7"/>
      <c r="B55" s="8"/>
      <c r="C55" s="8"/>
      <c r="D55" s="8"/>
      <c r="E55" s="8"/>
      <c r="F55" s="8"/>
      <c r="G55" s="8"/>
      <c r="H55" s="8"/>
      <c r="I55" s="8"/>
      <c r="J55" s="8"/>
    </row>
    <row r="56" spans="1:10" ht="12.75">
      <c r="A56" s="7"/>
      <c r="B56" s="8"/>
      <c r="C56" s="8"/>
      <c r="D56" s="8"/>
      <c r="E56" s="8"/>
      <c r="F56" s="8"/>
      <c r="G56" s="8"/>
      <c r="H56" s="8"/>
      <c r="I56" s="8"/>
      <c r="J56" s="8"/>
    </row>
    <row r="57" spans="1:10" ht="12.75">
      <c r="A57" s="7"/>
      <c r="B57" s="8"/>
      <c r="C57" s="8"/>
      <c r="D57" s="8"/>
      <c r="E57" s="8"/>
      <c r="F57" s="8"/>
      <c r="G57" s="8"/>
      <c r="H57" s="8"/>
      <c r="I57" s="8"/>
      <c r="J57" s="8"/>
    </row>
    <row r="58" spans="1:47" ht="12.75">
      <c r="A58" s="7"/>
      <c r="B58" s="8"/>
      <c r="C58" s="8"/>
      <c r="D58" s="8"/>
      <c r="E58" s="8"/>
      <c r="F58" s="8"/>
      <c r="G58" s="8"/>
      <c r="H58" s="8"/>
      <c r="I58" s="8"/>
      <c r="J58" s="8"/>
      <c r="AT58"/>
      <c r="AU58"/>
    </row>
    <row r="59" spans="1:45" s="20" customFormat="1" ht="12.75">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1:45" s="20" customFormat="1" ht="12.7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1:43" s="20" customFormat="1" ht="12.7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row>
    <row r="62" spans="1:43" s="20" customFormat="1" ht="12.7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row>
    <row r="63" spans="1:43" s="20" customFormat="1" ht="12.75">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row>
    <row r="64" spans="1:44" s="20" customFormat="1" ht="12.75">
      <c r="A64" s="7"/>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6" s="20" customFormat="1" ht="12.75">
      <c r="A65" s="7"/>
      <c r="C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7" s="20" customFormat="1" ht="12.75">
      <c r="A66" s="7"/>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row>
    <row r="67" spans="1:47" s="20" customFormat="1" ht="12.75">
      <c r="A67" s="216"/>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row>
    <row r="68" spans="1:47" s="20" customFormat="1" ht="12.75">
      <c r="A68" s="216"/>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row>
    <row r="69" spans="1:47" s="20" customFormat="1" ht="12.75">
      <c r="A69" s="216"/>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row>
    <row r="70" spans="1:47" s="20" customFormat="1" ht="12.75">
      <c r="A70" s="216"/>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row>
    <row r="71" spans="1:47" s="20" customFormat="1" ht="12.75">
      <c r="A71" s="216"/>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row>
    <row r="72" spans="1:47" s="20" customFormat="1" ht="12.75">
      <c r="A72" s="216"/>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row>
    <row r="73" spans="1:47" s="20" customFormat="1" ht="12.75">
      <c r="A73" s="216"/>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row>
    <row r="74" spans="1:47" s="20" customFormat="1" ht="12.75">
      <c r="A74" s="216"/>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row>
    <row r="75" spans="1:47" s="20" customFormat="1" ht="12.75">
      <c r="A75" s="216"/>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row>
    <row r="76" spans="1:47" s="20" customFormat="1" ht="12.75">
      <c r="A76" s="216"/>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1:47" s="20" customFormat="1" ht="12.75">
      <c r="A77" s="216"/>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1:47" s="20" customFormat="1" ht="12.75">
      <c r="A78" s="216"/>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1:47" s="20" customFormat="1" ht="12.75">
      <c r="A79" s="216"/>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1:47" s="20" customFormat="1" ht="12.75">
      <c r="A80" s="216"/>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1:47" s="20" customFormat="1" ht="12.75">
      <c r="A81" s="216"/>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1:47" s="20" customFormat="1" ht="12.75">
      <c r="A82" s="216"/>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row>
    <row r="83" spans="1:47" s="20" customFormat="1" ht="12.75">
      <c r="A83" s="216"/>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row>
    <row r="84" spans="1:47" s="20" customFormat="1" ht="12.75">
      <c r="A84" s="216"/>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row>
    <row r="85" spans="1:47" s="20" customFormat="1" ht="12.75">
      <c r="A85" s="216"/>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row>
    <row r="86" spans="1:47" s="20" customFormat="1" ht="12.75">
      <c r="A86" s="216"/>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row>
    <row r="87" spans="1:47" s="20" customFormat="1" ht="12.75">
      <c r="A87" s="216"/>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row>
    <row r="88" spans="1:47" s="20" customFormat="1" ht="12.75">
      <c r="A88" s="216"/>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row>
    <row r="89" spans="1:47" s="20" customFormat="1" ht="12.75">
      <c r="A89" s="216"/>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row>
    <row r="90" spans="1:47" s="20" customFormat="1" ht="12.75">
      <c r="A90" s="216"/>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row>
    <row r="91" spans="1:47" s="20" customFormat="1" ht="12.75">
      <c r="A91" s="216"/>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row>
    <row r="92" spans="1:47" s="20" customFormat="1" ht="12.75">
      <c r="A92" s="216"/>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row>
    <row r="93" spans="1:47" s="20" customFormat="1" ht="12.75">
      <c r="A93" s="216"/>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row>
    <row r="94" spans="1:47" s="20" customFormat="1" ht="12.75">
      <c r="A94" s="216"/>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row>
    <row r="95" spans="1:47" s="20" customFormat="1" ht="12.75">
      <c r="A95" s="216"/>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row>
    <row r="96" spans="1:47" s="20" customFormat="1" ht="12.75">
      <c r="A96" s="216"/>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row>
    <row r="97" spans="1:47" s="20" customFormat="1" ht="12.75">
      <c r="A97" s="216"/>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row>
    <row r="98" spans="1:47" s="20" customFormat="1" ht="12.75">
      <c r="A98" s="216"/>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row>
    <row r="99" spans="1:47" s="20" customFormat="1" ht="12.75">
      <c r="A99" s="216"/>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row>
    <row r="100" spans="1:47" s="20" customFormat="1" ht="12.75">
      <c r="A100" s="216"/>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row>
    <row r="101" spans="1:47" s="20" customFormat="1" ht="12.75">
      <c r="A101" s="216"/>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row>
    <row r="102" spans="1:47" s="20" customFormat="1" ht="12.75">
      <c r="A102" s="216"/>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row>
    <row r="103" spans="1:47" s="20" customFormat="1" ht="12.75">
      <c r="A103" s="216"/>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row>
    <row r="104" spans="1:47" s="20" customFormat="1" ht="12.75">
      <c r="A104" s="216"/>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row>
    <row r="105" spans="1:47" s="20" customFormat="1" ht="12.75">
      <c r="A105" s="216"/>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row>
    <row r="106" spans="1:47" s="20" customFormat="1" ht="12.75">
      <c r="A106" s="216"/>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row>
    <row r="107" spans="1:47" s="20" customFormat="1" ht="12.75">
      <c r="A107" s="216"/>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row>
    <row r="108" spans="1:47" s="20" customFormat="1" ht="12.75">
      <c r="A108" s="216"/>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row>
    <row r="109" spans="1:47" s="20" customFormat="1" ht="12.75">
      <c r="A109" s="216"/>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row>
    <row r="110" spans="1:47" s="20" customFormat="1" ht="12.75">
      <c r="A110" s="216"/>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row>
    <row r="111" spans="1:47" s="20" customFormat="1" ht="12.75">
      <c r="A111" s="216"/>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row>
    <row r="112" spans="1:47" s="20" customFormat="1" ht="12.75">
      <c r="A112" s="216"/>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row>
    <row r="113" spans="1:47" s="20" customFormat="1" ht="12.75">
      <c r="A113" s="216"/>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row>
    <row r="114" spans="1:47" s="20" customFormat="1" ht="12.75">
      <c r="A114" s="216"/>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row>
    <row r="115" spans="1:47" s="20" customFormat="1" ht="12.75">
      <c r="A115" s="216"/>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row>
    <row r="116" spans="1:47" s="20" customFormat="1" ht="12.75">
      <c r="A116" s="216"/>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row>
    <row r="117" spans="1:47" s="20" customFormat="1" ht="12.75">
      <c r="A117" s="216"/>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1:47" s="20" customFormat="1" ht="12.75">
      <c r="A118" s="216"/>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row>
    <row r="119" spans="1:47" s="20" customFormat="1" ht="12.75">
      <c r="A119" s="216"/>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row>
    <row r="120" spans="1:47" s="20" customFormat="1" ht="12.75">
      <c r="A120" s="216"/>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row>
    <row r="121" spans="1:47" s="20" customFormat="1" ht="12.75">
      <c r="A121" s="216"/>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row>
    <row r="122" spans="1:47" s="20" customFormat="1" ht="12.75">
      <c r="A122" s="216"/>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row>
    <row r="123" spans="1:47" s="20" customFormat="1" ht="12.75">
      <c r="A123" s="216"/>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row>
    <row r="124" spans="1:47" s="20" customFormat="1" ht="12.75">
      <c r="A124" s="216"/>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row>
    <row r="125" spans="1:47" s="20" customFormat="1" ht="12.75">
      <c r="A125" s="216"/>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1:47" s="20" customFormat="1" ht="12.75">
      <c r="A126" s="216"/>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row>
    <row r="127" spans="1:47" s="20" customFormat="1" ht="12.75">
      <c r="A127" s="216"/>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row>
    <row r="128" spans="1:47" s="20" customFormat="1" ht="12.75">
      <c r="A128" s="216"/>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row>
    <row r="129" spans="1:47" s="20" customFormat="1" ht="12.75">
      <c r="A129" s="216"/>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row>
    <row r="130" spans="1:47" s="20" customFormat="1" ht="12.75">
      <c r="A130" s="216"/>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1:47" s="20" customFormat="1" ht="12.75">
      <c r="A131" s="216"/>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1:47" s="20" customFormat="1" ht="12.75">
      <c r="A132" s="216"/>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1:47" s="20" customFormat="1" ht="12.75">
      <c r="A133" s="216"/>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1:47" s="20" customFormat="1" ht="12.75">
      <c r="A134" s="216"/>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row r="135" spans="1:47" s="20" customFormat="1" ht="12.75">
      <c r="A135" s="216"/>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row>
    <row r="136" spans="1:47" s="20" customFormat="1" ht="12.75">
      <c r="A136" s="216"/>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row>
    <row r="137" spans="1:47" s="20" customFormat="1" ht="12.75">
      <c r="A137" s="216"/>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row>
    <row r="138" spans="1:47" s="20" customFormat="1" ht="12.75">
      <c r="A138" s="216"/>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row>
    <row r="139" spans="1:47" s="20" customFormat="1" ht="12.75">
      <c r="A139" s="216"/>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row>
    <row r="140" spans="1:47" s="20" customFormat="1" ht="12.75">
      <c r="A140" s="216"/>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row>
    <row r="141" spans="1:47" s="20" customFormat="1" ht="12.75">
      <c r="A141" s="216"/>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row>
    <row r="142" spans="1:47" s="20" customFormat="1" ht="12.75">
      <c r="A142" s="216"/>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row>
    <row r="143" spans="1:47" s="20" customFormat="1" ht="12.75">
      <c r="A143" s="216"/>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row>
    <row r="144" spans="1:47" s="20" customFormat="1" ht="12.75">
      <c r="A144" s="216"/>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row>
    <row r="145" spans="1:47" s="20" customFormat="1" ht="12.75">
      <c r="A145" s="216"/>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row>
    <row r="146" spans="1:47" s="20" customFormat="1" ht="12.75">
      <c r="A146" s="216"/>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row>
    <row r="147" spans="1:47" s="20" customFormat="1" ht="12.75">
      <c r="A147" s="216"/>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row>
    <row r="148" spans="1:47" s="20" customFormat="1" ht="12.75">
      <c r="A148" s="216"/>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row>
    <row r="149" spans="1:47" s="20" customFormat="1" ht="12.75">
      <c r="A149" s="216"/>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row>
    <row r="150" spans="1:47" s="20" customFormat="1" ht="12.75">
      <c r="A150" s="216"/>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row>
    <row r="151" spans="1:47" s="20" customFormat="1" ht="12.75">
      <c r="A151" s="216"/>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row>
    <row r="152" spans="1:47" s="20" customFormat="1" ht="12.75">
      <c r="A152" s="216"/>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row>
    <row r="153" spans="1:47" s="20" customFormat="1" ht="12.75">
      <c r="A153" s="216"/>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row>
    <row r="154" spans="1:47" s="20" customFormat="1" ht="12.75">
      <c r="A154" s="216"/>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row>
    <row r="155" spans="1:47" s="20" customFormat="1" ht="12.75">
      <c r="A155" s="216"/>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row>
    <row r="156" spans="1:47" s="20" customFormat="1" ht="12.75">
      <c r="A156" s="216"/>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row>
    <row r="157" spans="1:47" s="20" customFormat="1" ht="12.75">
      <c r="A157" s="216"/>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row>
    <row r="158" spans="1:47" s="20" customFormat="1" ht="12.75">
      <c r="A158" s="216"/>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row>
    <row r="159" spans="1:47" s="20" customFormat="1" ht="12.75">
      <c r="A159" s="216"/>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row>
    <row r="160" spans="1:47" s="20" customFormat="1" ht="12.75">
      <c r="A160" s="216"/>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row>
    <row r="161" spans="1:47" s="20" customFormat="1" ht="12.75">
      <c r="A161" s="216"/>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row>
    <row r="162" spans="1:47" s="20" customFormat="1" ht="12.75">
      <c r="A162" s="216"/>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row>
    <row r="163" spans="1:47" s="20" customFormat="1" ht="12.75">
      <c r="A163" s="216"/>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row>
    <row r="164" spans="1:47" s="20" customFormat="1" ht="12.75">
      <c r="A164" s="216"/>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row>
    <row r="165" spans="1:47" s="20" customFormat="1" ht="12.75">
      <c r="A165" s="216"/>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row>
    <row r="166" spans="1:47" s="20" customFormat="1" ht="12.75">
      <c r="A166" s="216"/>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row>
    <row r="167" spans="1:47" s="20" customFormat="1" ht="12.75">
      <c r="A167" s="216"/>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row>
    <row r="168" spans="1:47" s="20" customFormat="1" ht="12.75">
      <c r="A168" s="216"/>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row>
    <row r="169" spans="1:47" s="20" customFormat="1" ht="12.75">
      <c r="A169" s="216"/>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row>
    <row r="170" spans="1:47" s="20" customFormat="1" ht="12.75">
      <c r="A170" s="216"/>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row>
    <row r="171" spans="1:47" s="20" customFormat="1" ht="12.75">
      <c r="A171" s="216"/>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row>
    <row r="172" spans="1:47" s="20" customFormat="1" ht="12.75">
      <c r="A172" s="216"/>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row>
    <row r="173" spans="1:47" s="20" customFormat="1" ht="12.75">
      <c r="A173" s="216"/>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row>
    <row r="174" spans="1:47" s="20" customFormat="1" ht="12.75">
      <c r="A174" s="216"/>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row>
    <row r="175" spans="1:47" s="20" customFormat="1" ht="12.75">
      <c r="A175" s="216"/>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row>
    <row r="176" spans="1:47" s="20" customFormat="1" ht="12.75">
      <c r="A176" s="216"/>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row>
    <row r="177" spans="1:47" s="20" customFormat="1" ht="12.75">
      <c r="A177" s="216"/>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row>
    <row r="178" spans="1:47" s="20" customFormat="1" ht="12.75">
      <c r="A178" s="216"/>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row>
    <row r="179" spans="1:47" s="20" customFormat="1" ht="12.75">
      <c r="A179" s="216"/>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row>
    <row r="180" spans="1:47" s="20" customFormat="1" ht="12.75">
      <c r="A180" s="216"/>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row>
    <row r="181" spans="1:47" s="20" customFormat="1" ht="12.75">
      <c r="A181" s="216"/>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row>
    <row r="182" spans="1:47" s="20" customFormat="1" ht="12.75">
      <c r="A182" s="216"/>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row>
    <row r="183" spans="1:47" s="20" customFormat="1" ht="12.75">
      <c r="A183" s="216"/>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row>
    <row r="184" spans="1:47" s="20" customFormat="1" ht="12.75">
      <c r="A184" s="216"/>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row>
    <row r="185" spans="1:47" s="20" customFormat="1" ht="12.75">
      <c r="A185" s="216"/>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row>
    <row r="186" spans="1:47" s="20" customFormat="1" ht="12.75">
      <c r="A186" s="216"/>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row>
    <row r="187" spans="1:47" s="20" customFormat="1" ht="12.75">
      <c r="A187" s="216"/>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row>
    <row r="188" spans="1:47" s="20" customFormat="1" ht="12.75">
      <c r="A188" s="216"/>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row>
    <row r="189" spans="1:47" s="20" customFormat="1" ht="12.75">
      <c r="A189" s="216"/>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row>
    <row r="190" spans="1:47" s="20" customFormat="1" ht="12.75">
      <c r="A190" s="216"/>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row>
    <row r="191" spans="1:47" s="20" customFormat="1" ht="12.75">
      <c r="A191" s="216"/>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row>
    <row r="192" spans="1:47" s="20" customFormat="1" ht="12.75">
      <c r="A192" s="216"/>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row>
    <row r="193" spans="1:47" s="20" customFormat="1" ht="12.75">
      <c r="A193" s="216"/>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row>
    <row r="194" spans="1:47" s="20" customFormat="1" ht="12.75">
      <c r="A194" s="216"/>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row>
    <row r="195" spans="1:47" s="20" customFormat="1" ht="12.75">
      <c r="A195" s="216"/>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row>
    <row r="196" spans="1:47" s="20" customFormat="1" ht="12.75">
      <c r="A196" s="216"/>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row>
    <row r="197" spans="1:47" s="20" customFormat="1" ht="12.75">
      <c r="A197" s="216"/>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row>
    <row r="198" spans="1:47" s="20" customFormat="1" ht="12.75">
      <c r="A198" s="216"/>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row>
    <row r="199" spans="1:47" s="20" customFormat="1" ht="12.75">
      <c r="A199" s="3"/>
      <c r="B199"/>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row>
  </sheetData>
  <mergeCells count="1">
    <mergeCell ref="A5:I6"/>
  </mergeCells>
  <printOptions/>
  <pageMargins left="0.75" right="0.75" top="1" bottom="1"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4:H88"/>
  <sheetViews>
    <sheetView workbookViewId="0" topLeftCell="A1">
      <selection activeCell="J72" sqref="A1:J72"/>
    </sheetView>
  </sheetViews>
  <sheetFormatPr defaultColWidth="11.421875" defaultRowHeight="12.75"/>
  <cols>
    <col min="1" max="2" width="11.421875" style="20" customWidth="1"/>
    <col min="3" max="3" width="44.8515625" style="20" bestFit="1" customWidth="1"/>
    <col min="4" max="4" width="10.00390625" style="20" customWidth="1"/>
    <col min="5" max="5" width="12.28125" style="20" bestFit="1" customWidth="1"/>
    <col min="6" max="6" width="10.57421875" style="20" bestFit="1" customWidth="1"/>
    <col min="7" max="7" width="13.8515625" style="20" bestFit="1" customWidth="1"/>
    <col min="8" max="10" width="11.421875" style="20" customWidth="1"/>
    <col min="11" max="11" width="10.7109375" style="20" customWidth="1"/>
    <col min="12" max="16384" width="11.421875" style="20" customWidth="1"/>
  </cols>
  <sheetData>
    <row r="4" spans="1:8" ht="18">
      <c r="A4" s="18"/>
      <c r="B4" s="135" t="s">
        <v>22</v>
      </c>
      <c r="C4" s="136"/>
      <c r="D4" s="136"/>
      <c r="E4" s="19"/>
      <c r="F4" s="19"/>
      <c r="G4" s="19"/>
      <c r="H4" s="19"/>
    </row>
    <row r="5" spans="1:8" ht="18">
      <c r="A5" s="21"/>
      <c r="B5" s="22"/>
      <c r="C5" s="19"/>
      <c r="D5" s="19"/>
      <c r="E5" s="19"/>
      <c r="F5" s="19"/>
      <c r="G5" s="232"/>
      <c r="H5" s="19"/>
    </row>
    <row r="6" spans="1:8" ht="18">
      <c r="A6" s="21"/>
      <c r="B6" s="22"/>
      <c r="D6" s="23" t="s">
        <v>23</v>
      </c>
      <c r="E6" s="263">
        <f>+'[1]Plano Invernadero'!$B$2</f>
        <v>1597.5</v>
      </c>
      <c r="F6" s="264" t="s">
        <v>261</v>
      </c>
      <c r="G6" s="19"/>
      <c r="H6" s="24"/>
    </row>
    <row r="7" spans="1:8" ht="18">
      <c r="A7" s="21"/>
      <c r="B7" s="22"/>
      <c r="D7" s="226" t="s">
        <v>259</v>
      </c>
      <c r="E7" s="263">
        <f>+'[1]Plano Invernadero'!$D$9</f>
        <v>1539.99</v>
      </c>
      <c r="F7" s="264" t="s">
        <v>261</v>
      </c>
      <c r="G7" s="19"/>
      <c r="H7" s="24"/>
    </row>
    <row r="8" spans="1:6" ht="18">
      <c r="A8" s="21"/>
      <c r="B8" s="22"/>
      <c r="D8" s="23" t="s">
        <v>24</v>
      </c>
      <c r="E8" s="263" t="s">
        <v>25</v>
      </c>
      <c r="F8" s="264"/>
    </row>
    <row r="9" spans="1:8" ht="17.25" customHeight="1">
      <c r="A9" s="21"/>
      <c r="B9" s="22"/>
      <c r="D9" s="23" t="s">
        <v>28</v>
      </c>
      <c r="E9" s="265" t="s">
        <v>29</v>
      </c>
      <c r="F9" s="264"/>
      <c r="G9" s="227" t="s">
        <v>26</v>
      </c>
      <c r="H9" s="271" t="s">
        <v>27</v>
      </c>
    </row>
    <row r="10" spans="1:8" ht="17.25" customHeight="1">
      <c r="A10" s="21"/>
      <c r="B10" s="22"/>
      <c r="D10" s="226" t="s">
        <v>267</v>
      </c>
      <c r="E10" s="266">
        <v>3</v>
      </c>
      <c r="F10" s="264" t="s">
        <v>268</v>
      </c>
      <c r="G10" s="25"/>
      <c r="H10" s="233"/>
    </row>
    <row r="11" spans="1:8" ht="17.25" customHeight="1">
      <c r="A11" s="21"/>
      <c r="B11" s="22"/>
      <c r="D11" s="226" t="s">
        <v>258</v>
      </c>
      <c r="E11" s="267">
        <v>24</v>
      </c>
      <c r="F11" s="264" t="s">
        <v>153</v>
      </c>
      <c r="G11" s="19"/>
      <c r="H11" s="232"/>
    </row>
    <row r="12" spans="1:7" ht="17.25" customHeight="1">
      <c r="A12" s="21"/>
      <c r="B12" s="22"/>
      <c r="D12" s="226" t="s">
        <v>264</v>
      </c>
      <c r="E12" s="263">
        <f>+E7/E15</f>
        <v>5.3471875</v>
      </c>
      <c r="F12" s="264" t="s">
        <v>262</v>
      </c>
      <c r="G12" s="19"/>
    </row>
    <row r="13" spans="1:7" ht="17.25" customHeight="1">
      <c r="A13" s="21"/>
      <c r="B13" s="22"/>
      <c r="D13" s="226" t="s">
        <v>265</v>
      </c>
      <c r="E13" s="268">
        <f>+E12/E11</f>
        <v>0.22279947916666668</v>
      </c>
      <c r="F13" s="264" t="s">
        <v>266</v>
      </c>
      <c r="G13" s="19"/>
    </row>
    <row r="14" spans="1:7" ht="17.25" customHeight="1">
      <c r="A14" s="21"/>
      <c r="B14" s="22"/>
      <c r="D14" s="226" t="s">
        <v>263</v>
      </c>
      <c r="E14" s="263">
        <f>+E13*E15</f>
        <v>64.16625</v>
      </c>
      <c r="F14" s="264" t="s">
        <v>262</v>
      </c>
      <c r="G14" s="19"/>
    </row>
    <row r="15" spans="1:8" ht="17.25" customHeight="1">
      <c r="A15" s="21"/>
      <c r="B15" s="22"/>
      <c r="D15" s="226" t="s">
        <v>260</v>
      </c>
      <c r="E15" s="269">
        <v>288</v>
      </c>
      <c r="F15" s="270" t="s">
        <v>153</v>
      </c>
      <c r="G15" s="19"/>
      <c r="H15" s="19"/>
    </row>
    <row r="16" spans="1:8" ht="17.25" customHeight="1">
      <c r="A16" s="21"/>
      <c r="B16" s="22"/>
      <c r="C16" s="226"/>
      <c r="D16" s="226"/>
      <c r="E16" s="231"/>
      <c r="F16" s="227"/>
      <c r="G16" s="19"/>
      <c r="H16" s="19"/>
    </row>
    <row r="17" spans="1:8" ht="17.25" customHeight="1">
      <c r="A17" s="137" t="s">
        <v>30</v>
      </c>
      <c r="B17" s="138" t="s">
        <v>31</v>
      </c>
      <c r="C17" s="139"/>
      <c r="D17" s="236"/>
      <c r="E17" s="230" t="s">
        <v>274</v>
      </c>
      <c r="F17" s="230" t="s">
        <v>32</v>
      </c>
      <c r="G17" s="19"/>
      <c r="H17" s="19"/>
    </row>
    <row r="18" spans="1:8" ht="18">
      <c r="A18" s="137"/>
      <c r="B18" s="138" t="s">
        <v>33</v>
      </c>
      <c r="C18" s="138" t="s">
        <v>40</v>
      </c>
      <c r="D18" s="237" t="s">
        <v>275</v>
      </c>
      <c r="E18" s="140"/>
      <c r="F18" s="140"/>
      <c r="G18" s="19"/>
      <c r="H18" s="19"/>
    </row>
    <row r="19" spans="1:8" ht="18">
      <c r="A19" s="141"/>
      <c r="B19" s="142" t="s">
        <v>35</v>
      </c>
      <c r="C19" s="229" t="s">
        <v>36</v>
      </c>
      <c r="D19" s="229"/>
      <c r="E19" s="143">
        <f>SUM(E20:E30)</f>
        <v>31.457529240506332</v>
      </c>
      <c r="F19" s="144">
        <f>E19*F58/E58</f>
        <v>0.11958710778428265</v>
      </c>
      <c r="G19" s="19"/>
      <c r="H19" s="19"/>
    </row>
    <row r="20" spans="1:8" ht="18">
      <c r="A20" s="26"/>
      <c r="B20" s="27"/>
      <c r="C20" s="228" t="s">
        <v>303</v>
      </c>
      <c r="D20" s="228">
        <v>288</v>
      </c>
      <c r="E20" s="28">
        <f>288*'Estructura de Inversión'!D31</f>
        <v>2.88</v>
      </c>
      <c r="F20" s="29"/>
      <c r="G20" s="19"/>
      <c r="H20" s="19"/>
    </row>
    <row r="21" spans="1:6" ht="18">
      <c r="A21" s="26"/>
      <c r="B21" s="27"/>
      <c r="C21" s="228" t="s">
        <v>301</v>
      </c>
      <c r="D21" s="228">
        <v>29.18</v>
      </c>
      <c r="E21" s="28">
        <f>29.18*'Estructura de Inversión'!D32</f>
        <v>7.295</v>
      </c>
      <c r="F21" s="29"/>
    </row>
    <row r="22" spans="1:6" ht="18">
      <c r="A22" s="26"/>
      <c r="B22" s="27"/>
      <c r="C22" s="228" t="s">
        <v>302</v>
      </c>
      <c r="D22" s="228">
        <v>0.2</v>
      </c>
      <c r="E22" s="28">
        <f>0.2*'Estructura de Inversión'!D33</f>
        <v>1.5</v>
      </c>
      <c r="F22" s="29"/>
    </row>
    <row r="23" spans="1:8" ht="18">
      <c r="A23" s="26"/>
      <c r="B23" s="27"/>
      <c r="C23" s="228" t="s">
        <v>304</v>
      </c>
      <c r="D23" s="228">
        <v>0.22</v>
      </c>
      <c r="E23" s="28">
        <f>0.22*'Estructura de Inversión'!D34</f>
        <v>0.066</v>
      </c>
      <c r="F23" s="29"/>
      <c r="G23" s="19"/>
      <c r="H23" s="19"/>
    </row>
    <row r="24" spans="1:8" ht="18">
      <c r="A24" s="26"/>
      <c r="B24" s="27"/>
      <c r="C24" s="228" t="s">
        <v>305</v>
      </c>
      <c r="D24" s="228">
        <v>0.03</v>
      </c>
      <c r="E24" s="28">
        <f>0.03*'Estructura de Inversión'!D35</f>
        <v>0.8999999999999999</v>
      </c>
      <c r="F24" s="29"/>
      <c r="G24" s="19"/>
      <c r="H24" s="19"/>
    </row>
    <row r="25" spans="1:8" ht="18">
      <c r="A25" s="26"/>
      <c r="B25" s="27"/>
      <c r="C25" s="228" t="s">
        <v>300</v>
      </c>
      <c r="D25" s="228">
        <v>0.025</v>
      </c>
      <c r="E25" s="28">
        <f>0.025*'Estructura de Inversión'!D36</f>
        <v>0.9750000000000001</v>
      </c>
      <c r="F25" s="29"/>
      <c r="G25" s="19"/>
      <c r="H25" s="19"/>
    </row>
    <row r="26" spans="1:8" ht="18">
      <c r="A26" s="26"/>
      <c r="B26" s="27"/>
      <c r="C26" s="228" t="s">
        <v>306</v>
      </c>
      <c r="D26" s="228">
        <v>0.575</v>
      </c>
      <c r="E26" s="28">
        <f>0.575*'Estructura de Inversión'!D37</f>
        <v>3.01875</v>
      </c>
      <c r="F26" s="29"/>
      <c r="G26" s="19"/>
      <c r="H26" s="19"/>
    </row>
    <row r="27" spans="1:8" ht="18">
      <c r="A27" s="26"/>
      <c r="B27" s="27"/>
      <c r="C27" s="228" t="s">
        <v>307</v>
      </c>
      <c r="D27" s="228">
        <v>11</v>
      </c>
      <c r="E27" s="28">
        <f>11*'Estructura de Inversión'!D38</f>
        <v>8.91</v>
      </c>
      <c r="F27" s="29"/>
      <c r="G27" s="19"/>
      <c r="H27" s="19"/>
    </row>
    <row r="28" spans="1:8" ht="18">
      <c r="A28" s="26"/>
      <c r="B28" s="27"/>
      <c r="C28" s="228" t="s">
        <v>308</v>
      </c>
      <c r="D28" s="228">
        <v>2.74</v>
      </c>
      <c r="E28" s="28">
        <f>2.74*'Estructura de Inversión'!D39</f>
        <v>0.4231392405063291</v>
      </c>
      <c r="F28" s="29"/>
      <c r="G28" s="19"/>
      <c r="H28" s="19"/>
    </row>
    <row r="29" spans="1:8" ht="18">
      <c r="A29" s="26"/>
      <c r="B29" s="27"/>
      <c r="C29" s="228" t="s">
        <v>309</v>
      </c>
      <c r="D29" s="228">
        <v>21.66</v>
      </c>
      <c r="E29" s="28">
        <f>21.66*'Estructura de Inversión'!D41</f>
        <v>1.16964</v>
      </c>
      <c r="F29" s="29"/>
      <c r="G29" s="19"/>
      <c r="H29" s="19"/>
    </row>
    <row r="30" spans="1:8" ht="18">
      <c r="A30" s="26"/>
      <c r="B30" s="27"/>
      <c r="C30" s="228" t="s">
        <v>310</v>
      </c>
      <c r="D30" s="228">
        <v>288</v>
      </c>
      <c r="E30" s="28">
        <f>288*'Estructura de Inversión'!D42</f>
        <v>4.32</v>
      </c>
      <c r="F30" s="29"/>
      <c r="G30" s="19"/>
      <c r="H30" s="19"/>
    </row>
    <row r="31" spans="1:8" ht="18">
      <c r="A31" s="141"/>
      <c r="B31" s="142" t="s">
        <v>37</v>
      </c>
      <c r="C31" s="229" t="s">
        <v>38</v>
      </c>
      <c r="D31" s="229"/>
      <c r="E31" s="143">
        <f>SUM(E32:E42)</f>
        <v>9.326972280215015</v>
      </c>
      <c r="F31" s="144">
        <f>E31*F58/E58</f>
        <v>0.03545687364215692</v>
      </c>
      <c r="G31" s="19"/>
      <c r="H31" s="19"/>
    </row>
    <row r="32" spans="1:8" ht="15.75" customHeight="1">
      <c r="A32" s="8"/>
      <c r="B32" s="8"/>
      <c r="C32" s="240" t="s">
        <v>10</v>
      </c>
      <c r="D32" s="241"/>
      <c r="E32" s="242">
        <f>+Depreciaciones!E8/30</f>
        <v>0.01908931506849315</v>
      </c>
      <c r="F32" s="238"/>
      <c r="G32" s="239"/>
      <c r="H32" s="19"/>
    </row>
    <row r="33" spans="1:8" ht="18" customHeight="1">
      <c r="A33" s="8"/>
      <c r="B33" s="8"/>
      <c r="C33" s="240" t="s">
        <v>11</v>
      </c>
      <c r="D33" s="241"/>
      <c r="E33" s="242">
        <f>+Depreciaciones!E9/30</f>
        <v>0.17886575342465752</v>
      </c>
      <c r="F33" s="238"/>
      <c r="G33" s="239"/>
      <c r="H33" s="19"/>
    </row>
    <row r="34" spans="1:8" ht="16.5" customHeight="1">
      <c r="A34" s="8"/>
      <c r="B34" s="8"/>
      <c r="C34" s="240" t="s">
        <v>12</v>
      </c>
      <c r="D34" s="241"/>
      <c r="E34" s="242">
        <f>+Depreciaciones!E10/30</f>
        <v>0.05090630136986301</v>
      </c>
      <c r="F34" s="238"/>
      <c r="G34" s="239"/>
      <c r="H34" s="19"/>
    </row>
    <row r="35" spans="1:8" ht="21.75" customHeight="1">
      <c r="A35" s="8"/>
      <c r="B35" s="8"/>
      <c r="C35" s="240" t="s">
        <v>13</v>
      </c>
      <c r="D35" s="241"/>
      <c r="E35" s="242">
        <f>+Depreciaciones!E11/30</f>
        <v>0.5917561643835616</v>
      </c>
      <c r="F35" s="238"/>
      <c r="G35" s="239"/>
      <c r="H35" s="19"/>
    </row>
    <row r="36" spans="1:8" ht="18.75" customHeight="1">
      <c r="A36" s="8"/>
      <c r="B36" s="8"/>
      <c r="C36" s="240" t="s">
        <v>14</v>
      </c>
      <c r="D36" s="241"/>
      <c r="E36" s="242">
        <f>+Depreciaciones!E12/30</f>
        <v>0.2671232876712329</v>
      </c>
      <c r="F36" s="238"/>
      <c r="G36" s="239"/>
      <c r="H36" s="19"/>
    </row>
    <row r="37" spans="1:8" ht="18.75" customHeight="1">
      <c r="A37" s="8"/>
      <c r="B37" s="8"/>
      <c r="C37" s="240" t="s">
        <v>15</v>
      </c>
      <c r="D37" s="241"/>
      <c r="E37" s="242">
        <f>+Depreciaciones!E13/30</f>
        <v>0.49359013698630144</v>
      </c>
      <c r="F37" s="238"/>
      <c r="G37" s="239"/>
      <c r="H37" s="19"/>
    </row>
    <row r="38" spans="1:8" ht="21.75" customHeight="1">
      <c r="A38" s="8"/>
      <c r="B38" s="8"/>
      <c r="C38" s="240" t="s">
        <v>16</v>
      </c>
      <c r="D38" s="241"/>
      <c r="E38" s="242">
        <f>+Depreciaciones!E15/30</f>
        <v>3.009661869256112</v>
      </c>
      <c r="F38" s="238"/>
      <c r="G38" s="239"/>
      <c r="H38" s="19"/>
    </row>
    <row r="39" spans="1:8" ht="18.75" customHeight="1">
      <c r="A39" s="8"/>
      <c r="B39" s="8"/>
      <c r="C39" s="240" t="s">
        <v>17</v>
      </c>
      <c r="D39" s="241"/>
      <c r="E39" s="242">
        <f>+Depreciaciones!E16/30</f>
        <v>0.11227397260273972</v>
      </c>
      <c r="F39" s="238"/>
      <c r="G39" s="239"/>
      <c r="H39" s="19"/>
    </row>
    <row r="40" spans="1:8" ht="18" customHeight="1">
      <c r="A40" s="8"/>
      <c r="B40" s="8"/>
      <c r="C40" s="240" t="s">
        <v>18</v>
      </c>
      <c r="D40" s="241"/>
      <c r="E40" s="242">
        <f>+Depreciaciones!E17/30</f>
        <v>4.109589041095891</v>
      </c>
      <c r="F40" s="238"/>
      <c r="G40" s="239"/>
      <c r="H40" s="19"/>
    </row>
    <row r="41" spans="1:8" ht="19.5" customHeight="1">
      <c r="A41" s="8"/>
      <c r="B41" s="8"/>
      <c r="C41" s="240" t="s">
        <v>19</v>
      </c>
      <c r="D41" s="241"/>
      <c r="E41" s="242">
        <f>+Depreciaciones!E18/30</f>
        <v>0.35287671232876716</v>
      </c>
      <c r="F41" s="238"/>
      <c r="G41" s="239"/>
      <c r="H41" s="19"/>
    </row>
    <row r="42" spans="1:8" ht="21" customHeight="1">
      <c r="A42" s="8"/>
      <c r="B42" s="8"/>
      <c r="C42" s="240" t="s">
        <v>20</v>
      </c>
      <c r="D42" s="241"/>
      <c r="E42" s="242">
        <f>+Depreciaciones!E19/30</f>
        <v>0.1412397260273973</v>
      </c>
      <c r="F42" s="238"/>
      <c r="G42" s="262"/>
      <c r="H42" s="19"/>
    </row>
    <row r="43" spans="1:8" ht="18">
      <c r="A43" s="277"/>
      <c r="B43" s="278" t="s">
        <v>311</v>
      </c>
      <c r="C43" s="278" t="s">
        <v>312</v>
      </c>
      <c r="D43" s="278"/>
      <c r="E43" s="143">
        <f>SUM(E44:E46)</f>
        <v>2.3349442742721207</v>
      </c>
      <c r="F43" s="144">
        <f>+E43*F58/E58</f>
        <v>0.008876387921722849</v>
      </c>
      <c r="G43" s="19"/>
      <c r="H43" s="19"/>
    </row>
    <row r="44" spans="1:8" ht="18">
      <c r="A44" s="279"/>
      <c r="B44" s="27"/>
      <c r="C44" s="281" t="s">
        <v>321</v>
      </c>
      <c r="D44" s="280"/>
      <c r="E44" s="34">
        <f>+('Flujo Egresos anuales'!B27)/30</f>
        <v>2.2574963518037663</v>
      </c>
      <c r="F44" s="282"/>
      <c r="G44" s="19"/>
      <c r="H44" s="19"/>
    </row>
    <row r="45" spans="1:8" ht="18">
      <c r="A45" s="279"/>
      <c r="B45" s="27"/>
      <c r="C45" s="281" t="s">
        <v>313</v>
      </c>
      <c r="D45" s="280"/>
      <c r="E45" s="34">
        <f>+('Flujo Egresos anuales'!B28)/30</f>
        <v>0.07744792246835441</v>
      </c>
      <c r="F45" s="282"/>
      <c r="G45" s="19"/>
      <c r="H45" s="19"/>
    </row>
    <row r="46" spans="1:8" ht="18">
      <c r="A46" s="279"/>
      <c r="B46" s="27"/>
      <c r="C46" s="281" t="s">
        <v>314</v>
      </c>
      <c r="D46" s="280"/>
      <c r="E46" s="321"/>
      <c r="F46" s="282"/>
      <c r="G46" s="19"/>
      <c r="H46" s="19"/>
    </row>
    <row r="47" spans="1:8" ht="18.75" thickBot="1">
      <c r="A47" s="272"/>
      <c r="B47" s="273"/>
      <c r="C47" s="274" t="s">
        <v>46</v>
      </c>
      <c r="D47" s="274"/>
      <c r="E47" s="275">
        <f>SUM(E31+E19+E43)</f>
        <v>43.11944579499347</v>
      </c>
      <c r="F47" s="276">
        <f>+E47*F58/E58</f>
        <v>0.16392036934816243</v>
      </c>
      <c r="G47" s="19"/>
      <c r="H47" s="19"/>
    </row>
    <row r="48" spans="1:8" ht="18">
      <c r="A48" s="148" t="s">
        <v>41</v>
      </c>
      <c r="B48" s="149" t="s">
        <v>42</v>
      </c>
      <c r="C48" s="235"/>
      <c r="D48" s="235"/>
      <c r="E48" s="150"/>
      <c r="F48" s="151"/>
      <c r="G48" s="19"/>
      <c r="H48" s="19"/>
    </row>
    <row r="49" spans="1:8" ht="18">
      <c r="A49" s="152"/>
      <c r="B49" s="152" t="s">
        <v>45</v>
      </c>
      <c r="C49" s="152" t="s">
        <v>34</v>
      </c>
      <c r="D49" s="152"/>
      <c r="E49" s="284">
        <f>SUM(E50:E56)</f>
        <v>219.9317293973277</v>
      </c>
      <c r="F49" s="283"/>
      <c r="G49" s="19"/>
      <c r="H49" s="19"/>
    </row>
    <row r="50" spans="1:8" ht="18">
      <c r="A50" s="26"/>
      <c r="B50" s="27"/>
      <c r="C50" s="30" t="s">
        <v>273</v>
      </c>
      <c r="D50" s="30"/>
      <c r="E50" s="28">
        <f>+'Sueldos y Cargas Sociales'!C16/30</f>
        <v>147.51985232067508</v>
      </c>
      <c r="F50" s="29"/>
      <c r="G50" s="19"/>
      <c r="H50" s="19"/>
    </row>
    <row r="51" spans="1:8" ht="18">
      <c r="A51" s="26"/>
      <c r="B51" s="27"/>
      <c r="C51" s="30" t="s">
        <v>39</v>
      </c>
      <c r="D51" s="30"/>
      <c r="E51" s="28">
        <f>+('Flujo Egresos anuales'!B15)/30</f>
        <v>7.172995780590717</v>
      </c>
      <c r="F51" s="29"/>
      <c r="G51" s="19"/>
      <c r="H51" s="19"/>
    </row>
    <row r="52" spans="1:8" ht="18">
      <c r="A52" s="26"/>
      <c r="B52" s="27"/>
      <c r="C52" s="30" t="s">
        <v>276</v>
      </c>
      <c r="D52" s="30"/>
      <c r="E52" s="28">
        <f>+('Flujo Egresos anuales'!B10)/30</f>
        <v>1.6877637130801688</v>
      </c>
      <c r="F52" s="29"/>
      <c r="G52" s="19"/>
      <c r="H52" s="19"/>
    </row>
    <row r="53" spans="1:8" ht="18">
      <c r="A53" s="26"/>
      <c r="B53" s="32"/>
      <c r="C53" s="33" t="s">
        <v>269</v>
      </c>
      <c r="D53" s="243"/>
      <c r="E53" s="34">
        <f>(+'Sueldos y Cargas Sociales'!D16)/30</f>
        <v>59.90781202742616</v>
      </c>
      <c r="F53" s="31"/>
      <c r="G53" s="19"/>
      <c r="H53" s="19"/>
    </row>
    <row r="54" spans="1:8" ht="18">
      <c r="A54" s="26"/>
      <c r="B54" s="32"/>
      <c r="C54" s="33" t="s">
        <v>270</v>
      </c>
      <c r="D54" s="243"/>
      <c r="E54" s="34">
        <f>+('Flujo Egresos anuales'!B19)/30</f>
        <v>1.4683333333333335</v>
      </c>
      <c r="F54" s="31"/>
      <c r="G54" s="19"/>
      <c r="H54" s="19"/>
    </row>
    <row r="55" spans="1:8" ht="18">
      <c r="A55" s="26"/>
      <c r="B55" s="32"/>
      <c r="C55" s="33" t="s">
        <v>318</v>
      </c>
      <c r="D55" s="243"/>
      <c r="E55" s="34">
        <f>+'Flujo Egresos anuales'!B20/30</f>
        <v>1.877638888888889</v>
      </c>
      <c r="F55" s="31"/>
      <c r="G55" s="19"/>
      <c r="H55" s="19"/>
    </row>
    <row r="56" spans="1:8" ht="18.75" thickBot="1">
      <c r="A56" s="26"/>
      <c r="B56" s="32"/>
      <c r="C56" s="33" t="s">
        <v>271</v>
      </c>
      <c r="D56" s="243"/>
      <c r="E56" s="34">
        <f>('Flujo Egresos anuales'!B18)/30</f>
        <v>0.29733333333333334</v>
      </c>
      <c r="F56" s="31"/>
      <c r="G56" s="19"/>
      <c r="H56" s="19"/>
    </row>
    <row r="57" spans="1:8" ht="18.75" thickBot="1">
      <c r="A57" s="145"/>
      <c r="B57" s="146"/>
      <c r="C57" s="147" t="s">
        <v>43</v>
      </c>
      <c r="D57" s="245"/>
      <c r="E57" s="244">
        <f>SUM(E50:E56)</f>
        <v>219.9317293973277</v>
      </c>
      <c r="F57" s="144">
        <f>E57*F58/E58</f>
        <v>0.8360796306518375</v>
      </c>
      <c r="G57" s="19"/>
      <c r="H57" s="19"/>
    </row>
    <row r="58" spans="1:8" ht="18">
      <c r="A58" s="305"/>
      <c r="B58" s="306" t="s">
        <v>44</v>
      </c>
      <c r="C58" s="307"/>
      <c r="D58" s="153"/>
      <c r="E58" s="154">
        <f>E57+E47</f>
        <v>263.0511751923212</v>
      </c>
      <c r="F58" s="155">
        <v>1</v>
      </c>
      <c r="G58" s="19"/>
      <c r="H58" s="19"/>
    </row>
    <row r="59" spans="1:8" ht="18">
      <c r="A59" s="308"/>
      <c r="B59" s="309" t="s">
        <v>319</v>
      </c>
      <c r="C59" s="304"/>
      <c r="D59" s="304"/>
      <c r="E59" s="322">
        <f>+E58/288</f>
        <v>0.9133721360844486</v>
      </c>
      <c r="F59" s="303"/>
      <c r="G59" s="19"/>
      <c r="H59" s="19"/>
    </row>
    <row r="60" spans="1:8" ht="18">
      <c r="A60" s="18"/>
      <c r="B60" s="19"/>
      <c r="C60" s="19"/>
      <c r="D60" s="19"/>
      <c r="E60" s="19"/>
      <c r="F60" s="19"/>
      <c r="G60" s="19"/>
      <c r="H60" s="19"/>
    </row>
    <row r="61" spans="1:8" ht="18">
      <c r="A61" s="18"/>
      <c r="B61" s="19"/>
      <c r="C61" s="19"/>
      <c r="D61" s="19"/>
      <c r="E61" s="19"/>
      <c r="F61" s="19"/>
      <c r="G61" s="19"/>
      <c r="H61" s="19"/>
    </row>
    <row r="62" spans="1:8" ht="18">
      <c r="A62" s="18"/>
      <c r="B62" s="19"/>
      <c r="C62" s="19"/>
      <c r="D62" s="19"/>
      <c r="E62" s="19"/>
      <c r="F62" s="19"/>
      <c r="G62" s="19"/>
      <c r="H62" s="19"/>
    </row>
    <row r="63" spans="1:7" ht="18">
      <c r="A63" s="18"/>
      <c r="B63" s="19"/>
      <c r="C63" s="19"/>
      <c r="D63" s="19"/>
      <c r="E63" s="19"/>
      <c r="F63" s="19"/>
      <c r="G63" s="19"/>
    </row>
    <row r="64" spans="1:7" ht="18">
      <c r="A64" s="18"/>
      <c r="B64" s="19"/>
      <c r="C64" s="19"/>
      <c r="D64" s="19"/>
      <c r="E64" s="19"/>
      <c r="F64" s="19"/>
      <c r="G64" s="19"/>
    </row>
    <row r="65" spans="1:7" ht="18">
      <c r="A65" s="18"/>
      <c r="B65" s="19"/>
      <c r="C65" s="19"/>
      <c r="D65" s="19"/>
      <c r="E65" s="19"/>
      <c r="F65" s="19"/>
      <c r="G65" s="19"/>
    </row>
    <row r="66" spans="1:7" ht="18">
      <c r="A66" s="18"/>
      <c r="B66" s="19"/>
      <c r="C66" s="19"/>
      <c r="D66" s="19"/>
      <c r="E66" s="19"/>
      <c r="F66" s="19"/>
      <c r="G66" s="19"/>
    </row>
    <row r="67" spans="1:7" ht="18">
      <c r="A67" s="18"/>
      <c r="B67" s="19"/>
      <c r="C67" s="19"/>
      <c r="D67" s="19"/>
      <c r="E67" s="19"/>
      <c r="F67" s="19"/>
      <c r="G67" s="19"/>
    </row>
    <row r="68" spans="1:7" ht="18">
      <c r="A68" s="18"/>
      <c r="B68" s="19"/>
      <c r="C68" s="19"/>
      <c r="D68" s="19"/>
      <c r="E68" s="19"/>
      <c r="F68" s="19"/>
      <c r="G68" s="19"/>
    </row>
    <row r="69" spans="1:7" ht="18">
      <c r="A69" s="18"/>
      <c r="B69" s="19"/>
      <c r="C69" s="19"/>
      <c r="D69" s="19"/>
      <c r="E69" s="19"/>
      <c r="F69" s="19"/>
      <c r="G69" s="19"/>
    </row>
    <row r="70" spans="1:7" ht="18">
      <c r="A70" s="18"/>
      <c r="B70" s="19"/>
      <c r="C70" s="19"/>
      <c r="D70" s="19"/>
      <c r="E70" s="19"/>
      <c r="F70" s="19"/>
      <c r="G70" s="19"/>
    </row>
    <row r="71" spans="1:7" ht="18">
      <c r="A71" s="18"/>
      <c r="B71" s="19"/>
      <c r="C71" s="19"/>
      <c r="D71" s="19"/>
      <c r="E71" s="19"/>
      <c r="F71" s="19"/>
      <c r="G71" s="19"/>
    </row>
    <row r="72" spans="1:7" ht="18">
      <c r="A72" s="18"/>
      <c r="B72" s="19"/>
      <c r="C72" s="19"/>
      <c r="D72" s="19"/>
      <c r="E72" s="19"/>
      <c r="F72" s="19"/>
      <c r="G72" s="19"/>
    </row>
    <row r="73" spans="1:7" ht="18">
      <c r="A73" s="18"/>
      <c r="B73" s="19"/>
      <c r="C73" s="19"/>
      <c r="D73" s="19"/>
      <c r="E73" s="19"/>
      <c r="F73" s="19"/>
      <c r="G73" s="19"/>
    </row>
    <row r="74" spans="1:7" ht="18">
      <c r="A74" s="18"/>
      <c r="B74" s="19"/>
      <c r="C74" s="19"/>
      <c r="D74" s="19"/>
      <c r="E74" s="19"/>
      <c r="F74" s="19"/>
      <c r="G74" s="19"/>
    </row>
    <row r="75" spans="1:7" ht="18">
      <c r="A75" s="18"/>
      <c r="B75" s="19"/>
      <c r="C75" s="19"/>
      <c r="D75" s="19"/>
      <c r="E75" s="19"/>
      <c r="F75" s="19"/>
      <c r="G75" s="19"/>
    </row>
    <row r="76" spans="1:7" ht="18">
      <c r="A76" s="18"/>
      <c r="B76" s="19"/>
      <c r="C76" s="19"/>
      <c r="D76" s="19"/>
      <c r="E76" s="19"/>
      <c r="F76" s="19"/>
      <c r="G76" s="19"/>
    </row>
    <row r="77" spans="1:7" ht="18">
      <c r="A77" s="18"/>
      <c r="B77" s="19"/>
      <c r="C77" s="19"/>
      <c r="D77" s="19"/>
      <c r="E77" s="19"/>
      <c r="F77" s="19"/>
      <c r="G77" s="19"/>
    </row>
    <row r="78" spans="1:7" ht="18">
      <c r="A78" s="18"/>
      <c r="B78" s="19"/>
      <c r="C78" s="19"/>
      <c r="D78" s="19"/>
      <c r="E78" s="19"/>
      <c r="F78" s="19"/>
      <c r="G78" s="19"/>
    </row>
    <row r="79" spans="1:7" ht="18">
      <c r="A79" s="18"/>
      <c r="B79" s="19"/>
      <c r="C79" s="19"/>
      <c r="D79" s="19"/>
      <c r="E79" s="19"/>
      <c r="F79" s="19"/>
      <c r="G79" s="19"/>
    </row>
    <row r="80" spans="1:7" ht="18">
      <c r="A80" s="18"/>
      <c r="B80" s="19"/>
      <c r="C80" s="19"/>
      <c r="D80" s="19"/>
      <c r="E80" s="19"/>
      <c r="F80" s="19"/>
      <c r="G80" s="19"/>
    </row>
    <row r="81" spans="1:7" ht="18">
      <c r="A81" s="18"/>
      <c r="B81" s="19"/>
      <c r="C81" s="19"/>
      <c r="D81" s="19"/>
      <c r="E81" s="19"/>
      <c r="F81" s="19"/>
      <c r="G81" s="19"/>
    </row>
    <row r="82" spans="1:7" ht="18">
      <c r="A82" s="18"/>
      <c r="B82" s="19"/>
      <c r="C82" s="19"/>
      <c r="D82" s="19"/>
      <c r="E82" s="19"/>
      <c r="F82" s="19"/>
      <c r="G82" s="19"/>
    </row>
    <row r="83" spans="1:7" ht="18">
      <c r="A83" s="18"/>
      <c r="B83" s="19"/>
      <c r="C83" s="19"/>
      <c r="D83" s="19"/>
      <c r="E83" s="19"/>
      <c r="F83" s="19"/>
      <c r="G83" s="19"/>
    </row>
    <row r="84" spans="1:7" ht="18">
      <c r="A84" s="18"/>
      <c r="B84" s="19"/>
      <c r="C84" s="19"/>
      <c r="D84" s="19"/>
      <c r="E84" s="19"/>
      <c r="F84" s="19"/>
      <c r="G84" s="19"/>
    </row>
    <row r="85" spans="1:7" ht="18">
      <c r="A85" s="18"/>
      <c r="B85" s="19"/>
      <c r="C85" s="19"/>
      <c r="D85" s="19"/>
      <c r="E85" s="19"/>
      <c r="F85" s="19"/>
      <c r="G85" s="19"/>
    </row>
    <row r="86" spans="1:7" ht="18">
      <c r="A86" s="18"/>
      <c r="B86" s="19"/>
      <c r="C86" s="19"/>
      <c r="D86" s="19"/>
      <c r="E86" s="19"/>
      <c r="F86" s="19"/>
      <c r="G86" s="19"/>
    </row>
    <row r="87" spans="1:6" ht="18">
      <c r="A87" s="18"/>
      <c r="B87" s="19"/>
      <c r="C87" s="19"/>
      <c r="D87" s="19"/>
      <c r="E87" s="19"/>
      <c r="F87" s="19"/>
    </row>
    <row r="88" spans="1:6" ht="18">
      <c r="A88" s="18"/>
      <c r="B88" s="19"/>
      <c r="C88" s="19"/>
      <c r="D88" s="19"/>
      <c r="E88" s="19"/>
      <c r="F88" s="19"/>
    </row>
  </sheetData>
  <printOptions horizontalCentered="1"/>
  <pageMargins left="0.28" right="0.14" top="0.984251968503937" bottom="0.984251968503937" header="0" footer="0"/>
  <pageSetup fitToHeight="1" fitToWidth="1" horizontalDpi="600" verticalDpi="600" orientation="portrait" paperSize="9" scale="44" r:id="rId2"/>
  <drawing r:id="rId1"/>
</worksheet>
</file>

<file path=xl/worksheets/sheet3.xml><?xml version="1.0" encoding="utf-8"?>
<worksheet xmlns="http://schemas.openxmlformats.org/spreadsheetml/2006/main" xmlns:r="http://schemas.openxmlformats.org/officeDocument/2006/relationships">
  <sheetPr>
    <tabColor indexed="55"/>
  </sheetPr>
  <dimension ref="A5:J84"/>
  <sheetViews>
    <sheetView workbookViewId="0" topLeftCell="A48">
      <selection activeCell="J1" sqref="A1:J70"/>
    </sheetView>
  </sheetViews>
  <sheetFormatPr defaultColWidth="11.421875" defaultRowHeight="12.75"/>
  <cols>
    <col min="1" max="1" width="32.7109375" style="46" customWidth="1"/>
    <col min="2" max="2" width="14.00390625" style="42" bestFit="1" customWidth="1"/>
    <col min="3" max="4" width="16.7109375" style="42" bestFit="1" customWidth="1"/>
    <col min="5" max="16384" width="11.421875" style="42" customWidth="1"/>
  </cols>
  <sheetData>
    <row r="5" spans="1:7" ht="15.75">
      <c r="A5" s="169" t="s">
        <v>84</v>
      </c>
      <c r="B5" s="170"/>
      <c r="C5" s="171"/>
      <c r="D5" s="49"/>
      <c r="E5" s="49"/>
      <c r="F5" s="49"/>
      <c r="G5" s="49"/>
    </row>
    <row r="6" spans="1:7" ht="15.75">
      <c r="A6" s="50"/>
      <c r="B6" s="49"/>
      <c r="C6" s="49"/>
      <c r="D6" s="49"/>
      <c r="E6" s="49"/>
      <c r="F6" s="49"/>
      <c r="G6" s="49"/>
    </row>
    <row r="7" spans="1:7" s="54" customFormat="1" ht="12.75">
      <c r="A7" s="52" t="s">
        <v>60</v>
      </c>
      <c r="B7" s="51">
        <v>0.0071</v>
      </c>
      <c r="C7" s="53"/>
      <c r="D7" s="53"/>
      <c r="E7" s="53"/>
      <c r="F7" s="53"/>
      <c r="G7" s="53"/>
    </row>
    <row r="8" spans="1:10" s="250" customFormat="1" ht="12.75">
      <c r="A8" s="173" t="s">
        <v>61</v>
      </c>
      <c r="B8" s="174">
        <v>2010</v>
      </c>
      <c r="C8" s="175">
        <v>2011</v>
      </c>
      <c r="D8" s="175">
        <v>2012</v>
      </c>
      <c r="E8" s="175">
        <v>2013</v>
      </c>
      <c r="F8" s="175">
        <v>2014</v>
      </c>
      <c r="G8" s="175">
        <v>2015</v>
      </c>
      <c r="H8" s="175">
        <v>2016</v>
      </c>
      <c r="I8" s="175">
        <v>2017</v>
      </c>
      <c r="J8" s="175">
        <v>2018</v>
      </c>
    </row>
    <row r="9" spans="1:10" s="54" customFormat="1" ht="12.75">
      <c r="A9" s="44" t="s">
        <v>62</v>
      </c>
      <c r="B9" s="55">
        <v>155911</v>
      </c>
      <c r="C9" s="56">
        <f>+(B9*$B$7)+B9</f>
        <v>157017.9681</v>
      </c>
      <c r="D9" s="56">
        <f aca="true" t="shared" si="0" ref="D9:J9">+(C9*$B$7)+C9</f>
        <v>158132.79567351</v>
      </c>
      <c r="E9" s="56">
        <f t="shared" si="0"/>
        <v>159255.53852279193</v>
      </c>
      <c r="F9" s="56">
        <f t="shared" si="0"/>
        <v>160386.25284630375</v>
      </c>
      <c r="G9" s="56">
        <f t="shared" si="0"/>
        <v>161524.99524151252</v>
      </c>
      <c r="H9" s="56">
        <f t="shared" si="0"/>
        <v>162671.82270772726</v>
      </c>
      <c r="I9" s="56">
        <f t="shared" si="0"/>
        <v>163826.79264895213</v>
      </c>
      <c r="J9" s="56">
        <f t="shared" si="0"/>
        <v>164989.9628767597</v>
      </c>
    </row>
    <row r="10" spans="1:10" s="54" customFormat="1" ht="12.75">
      <c r="A10" s="44" t="s">
        <v>63</v>
      </c>
      <c r="B10" s="55">
        <v>246081</v>
      </c>
      <c r="C10" s="56">
        <f>+(B10*$B$7)+B10</f>
        <v>247828.1751</v>
      </c>
      <c r="D10" s="56">
        <f aca="true" t="shared" si="1" ref="D10:J10">+(C10*$B$7)+C10</f>
        <v>249587.75514321</v>
      </c>
      <c r="E10" s="56">
        <f t="shared" si="1"/>
        <v>251359.8282047268</v>
      </c>
      <c r="F10" s="56">
        <f t="shared" si="1"/>
        <v>253144.48298498036</v>
      </c>
      <c r="G10" s="56">
        <f t="shared" si="1"/>
        <v>254941.80881417374</v>
      </c>
      <c r="H10" s="56">
        <f t="shared" si="1"/>
        <v>256751.89565675438</v>
      </c>
      <c r="I10" s="56">
        <f t="shared" si="1"/>
        <v>258574.83411591733</v>
      </c>
      <c r="J10" s="56">
        <f t="shared" si="1"/>
        <v>260410.71543814035</v>
      </c>
    </row>
    <row r="11" spans="1:10" s="54" customFormat="1" ht="12.75">
      <c r="A11" s="52" t="s">
        <v>87</v>
      </c>
      <c r="B11" s="57">
        <v>18.69</v>
      </c>
      <c r="C11" s="56"/>
      <c r="D11" s="56"/>
      <c r="E11" s="56"/>
      <c r="F11" s="56"/>
      <c r="G11" s="56"/>
      <c r="H11" s="56"/>
      <c r="I11" s="56"/>
      <c r="J11" s="56"/>
    </row>
    <row r="12" spans="1:10" s="250" customFormat="1" ht="12.75">
      <c r="A12" s="173" t="s">
        <v>64</v>
      </c>
      <c r="B12" s="175">
        <v>2010</v>
      </c>
      <c r="C12" s="175">
        <v>2011</v>
      </c>
      <c r="D12" s="175">
        <v>2012</v>
      </c>
      <c r="E12" s="175">
        <v>2013</v>
      </c>
      <c r="F12" s="175">
        <v>2014</v>
      </c>
      <c r="G12" s="175">
        <v>2015</v>
      </c>
      <c r="H12" s="175">
        <v>2016</v>
      </c>
      <c r="I12" s="175">
        <v>2017</v>
      </c>
      <c r="J12" s="175">
        <v>2018</v>
      </c>
    </row>
    <row r="13" spans="1:10" s="54" customFormat="1" ht="12.75">
      <c r="A13" s="58" t="s">
        <v>88</v>
      </c>
      <c r="B13" s="56">
        <f>+B10*$B$11</f>
        <v>4599253.890000001</v>
      </c>
      <c r="C13" s="56">
        <f aca="true" t="shared" si="2" ref="C13:J13">+C10*$B$11</f>
        <v>4631908.592619</v>
      </c>
      <c r="D13" s="56">
        <f t="shared" si="2"/>
        <v>4664795.143626595</v>
      </c>
      <c r="E13" s="56">
        <f t="shared" si="2"/>
        <v>4697915.189146345</v>
      </c>
      <c r="F13" s="56">
        <f t="shared" si="2"/>
        <v>4731270.386989283</v>
      </c>
      <c r="G13" s="56">
        <f t="shared" si="2"/>
        <v>4764862.406736908</v>
      </c>
      <c r="H13" s="56">
        <f t="shared" si="2"/>
        <v>4798692.92982474</v>
      </c>
      <c r="I13" s="56">
        <f t="shared" si="2"/>
        <v>4832763.649626495</v>
      </c>
      <c r="J13" s="56">
        <f t="shared" si="2"/>
        <v>4867076.271538843</v>
      </c>
    </row>
    <row r="14" spans="1:10" s="54" customFormat="1" ht="12.75">
      <c r="A14" s="44" t="s">
        <v>65</v>
      </c>
      <c r="B14" s="56">
        <f aca="true" t="shared" si="3" ref="B14:J14">+B13*10%</f>
        <v>459925.3890000001</v>
      </c>
      <c r="C14" s="56">
        <f t="shared" si="3"/>
        <v>463190.8592619</v>
      </c>
      <c r="D14" s="56">
        <f t="shared" si="3"/>
        <v>466479.51436265954</v>
      </c>
      <c r="E14" s="56">
        <f t="shared" si="3"/>
        <v>469791.5189146345</v>
      </c>
      <c r="F14" s="56">
        <f t="shared" si="3"/>
        <v>473127.0386989284</v>
      </c>
      <c r="G14" s="56">
        <f t="shared" si="3"/>
        <v>476486.2406736908</v>
      </c>
      <c r="H14" s="56">
        <f t="shared" si="3"/>
        <v>479869.29298247397</v>
      </c>
      <c r="I14" s="56">
        <f t="shared" si="3"/>
        <v>483276.36496264953</v>
      </c>
      <c r="J14" s="56">
        <f t="shared" si="3"/>
        <v>486707.6271538844</v>
      </c>
    </row>
    <row r="15" spans="1:10" s="54" customFormat="1" ht="12.75">
      <c r="A15" s="317"/>
      <c r="B15" s="318"/>
      <c r="C15" s="318"/>
      <c r="D15" s="318"/>
      <c r="E15" s="318"/>
      <c r="F15" s="318"/>
      <c r="G15" s="318"/>
      <c r="H15" s="318"/>
      <c r="I15" s="318"/>
      <c r="J15" s="318"/>
    </row>
    <row r="16" spans="1:10" ht="15">
      <c r="A16" s="60" t="s">
        <v>89</v>
      </c>
      <c r="B16" s="59"/>
      <c r="C16" s="319"/>
      <c r="D16" s="62"/>
      <c r="E16" s="40"/>
      <c r="F16" s="40"/>
      <c r="G16" s="40"/>
      <c r="H16" s="40"/>
      <c r="I16" s="40"/>
      <c r="J16" s="40"/>
    </row>
    <row r="17" spans="1:10" ht="15">
      <c r="A17" s="48"/>
      <c r="B17" s="61"/>
      <c r="C17" s="43"/>
      <c r="D17" s="64"/>
      <c r="E17" s="39"/>
      <c r="F17" s="40"/>
      <c r="G17" s="40"/>
      <c r="H17" s="40"/>
      <c r="I17" s="40"/>
      <c r="J17" s="40"/>
    </row>
    <row r="18" spans="1:10" ht="15.75">
      <c r="A18" s="169" t="s">
        <v>66</v>
      </c>
      <c r="B18" s="172"/>
      <c r="C18" s="40"/>
      <c r="D18" s="40"/>
      <c r="E18" s="40"/>
      <c r="F18" s="40"/>
      <c r="G18" s="40"/>
      <c r="H18" s="40"/>
      <c r="I18" s="40"/>
      <c r="J18" s="40"/>
    </row>
    <row r="19" spans="1:10" ht="12.75">
      <c r="A19" s="52" t="s">
        <v>60</v>
      </c>
      <c r="B19" s="51">
        <v>0.00627</v>
      </c>
      <c r="C19" s="53"/>
      <c r="D19" s="53"/>
      <c r="E19" s="53"/>
      <c r="F19" s="53"/>
      <c r="G19" s="53"/>
      <c r="H19" s="53"/>
      <c r="I19" s="53"/>
      <c r="J19" s="53"/>
    </row>
    <row r="20" spans="1:10" ht="12.75">
      <c r="A20" s="173" t="s">
        <v>61</v>
      </c>
      <c r="B20" s="174">
        <v>2010</v>
      </c>
      <c r="C20" s="175">
        <v>2011</v>
      </c>
      <c r="D20" s="175">
        <v>2012</v>
      </c>
      <c r="E20" s="175">
        <v>2013</v>
      </c>
      <c r="F20" s="175">
        <v>2014</v>
      </c>
      <c r="G20" s="175">
        <v>2015</v>
      </c>
      <c r="H20" s="175">
        <v>2016</v>
      </c>
      <c r="I20" s="175">
        <v>2017</v>
      </c>
      <c r="J20" s="175">
        <v>2018</v>
      </c>
    </row>
    <row r="21" spans="1:10" ht="12.75">
      <c r="A21" s="44" t="s">
        <v>67</v>
      </c>
      <c r="B21" s="55">
        <v>11490</v>
      </c>
      <c r="C21" s="56">
        <f>+(B21*$B$19)+B21</f>
        <v>11562.0423</v>
      </c>
      <c r="D21" s="56">
        <f aca="true" t="shared" si="4" ref="D21:J21">+(C21*$B$19)+C21</f>
        <v>11634.536305221</v>
      </c>
      <c r="E21" s="56">
        <f t="shared" si="4"/>
        <v>11707.484847854736</v>
      </c>
      <c r="F21" s="56">
        <f t="shared" si="4"/>
        <v>11780.890777850786</v>
      </c>
      <c r="G21" s="56">
        <f t="shared" si="4"/>
        <v>11854.75696302791</v>
      </c>
      <c r="H21" s="56">
        <f t="shared" si="4"/>
        <v>11929.086289186096</v>
      </c>
      <c r="I21" s="56">
        <f t="shared" si="4"/>
        <v>12003.881660219293</v>
      </c>
      <c r="J21" s="56">
        <f t="shared" si="4"/>
        <v>12079.145998228867</v>
      </c>
    </row>
    <row r="22" spans="1:10" ht="12.75">
      <c r="A22" s="44" t="s">
        <v>68</v>
      </c>
      <c r="B22" s="55">
        <v>55348</v>
      </c>
      <c r="C22" s="56">
        <f>+(B22*$B$19)+B22</f>
        <v>55695.03196</v>
      </c>
      <c r="D22" s="56">
        <f aca="true" t="shared" si="5" ref="D22:J22">+(C22*$B$19)+C22</f>
        <v>56044.2398103892</v>
      </c>
      <c r="E22" s="56">
        <f t="shared" si="5"/>
        <v>56395.63719400034</v>
      </c>
      <c r="F22" s="56">
        <f t="shared" si="5"/>
        <v>56749.23783920672</v>
      </c>
      <c r="G22" s="56">
        <f t="shared" si="5"/>
        <v>57105.055560458546</v>
      </c>
      <c r="H22" s="56">
        <f t="shared" si="5"/>
        <v>57463.10425882262</v>
      </c>
      <c r="I22" s="56">
        <f t="shared" si="5"/>
        <v>57823.39792252544</v>
      </c>
      <c r="J22" s="56">
        <f t="shared" si="5"/>
        <v>58185.950627499675</v>
      </c>
    </row>
    <row r="23" spans="1:10" ht="12.75">
      <c r="A23" s="52" t="s">
        <v>87</v>
      </c>
      <c r="B23" s="57">
        <v>18.69</v>
      </c>
      <c r="C23" s="56"/>
      <c r="D23" s="56"/>
      <c r="E23" s="56"/>
      <c r="F23" s="56"/>
      <c r="G23" s="56"/>
      <c r="H23" s="56"/>
      <c r="I23" s="56"/>
      <c r="J23" s="56"/>
    </row>
    <row r="24" spans="1:10" ht="12.75">
      <c r="A24" s="173" t="s">
        <v>64</v>
      </c>
      <c r="B24" s="175">
        <v>2010</v>
      </c>
      <c r="C24" s="175">
        <v>2011</v>
      </c>
      <c r="D24" s="175">
        <v>2012</v>
      </c>
      <c r="E24" s="175">
        <v>2013</v>
      </c>
      <c r="F24" s="175">
        <v>2014</v>
      </c>
      <c r="G24" s="175">
        <v>2015</v>
      </c>
      <c r="H24" s="175">
        <v>2016</v>
      </c>
      <c r="I24" s="175">
        <v>2017</v>
      </c>
      <c r="J24" s="175">
        <v>2018</v>
      </c>
    </row>
    <row r="25" spans="1:10" ht="12.75">
      <c r="A25" s="58" t="s">
        <v>88</v>
      </c>
      <c r="B25" s="56">
        <f>+B22*$B$23</f>
        <v>1034454.1200000001</v>
      </c>
      <c r="C25" s="56">
        <f aca="true" t="shared" si="6" ref="C25:J25">+C22*$B$23</f>
        <v>1040940.1473324001</v>
      </c>
      <c r="D25" s="56">
        <f t="shared" si="6"/>
        <v>1047466.8420561742</v>
      </c>
      <c r="E25" s="56">
        <f t="shared" si="6"/>
        <v>1054034.4591558664</v>
      </c>
      <c r="F25" s="56">
        <f t="shared" si="6"/>
        <v>1060643.2552147736</v>
      </c>
      <c r="G25" s="56">
        <f t="shared" si="6"/>
        <v>1067293.4884249703</v>
      </c>
      <c r="H25" s="56">
        <f t="shared" si="6"/>
        <v>1073985.4185973948</v>
      </c>
      <c r="I25" s="56">
        <f t="shared" si="6"/>
        <v>1080719.3071720004</v>
      </c>
      <c r="J25" s="56">
        <f t="shared" si="6"/>
        <v>1087495.417227969</v>
      </c>
    </row>
    <row r="26" spans="1:10" ht="12.75">
      <c r="A26" s="44" t="s">
        <v>65</v>
      </c>
      <c r="B26" s="56">
        <f>+B25*10%</f>
        <v>103445.41200000001</v>
      </c>
      <c r="C26" s="56">
        <f aca="true" t="shared" si="7" ref="C26:J26">+C25*10%</f>
        <v>104094.01473324001</v>
      </c>
      <c r="D26" s="56">
        <f t="shared" si="7"/>
        <v>104746.68420561742</v>
      </c>
      <c r="E26" s="56">
        <f t="shared" si="7"/>
        <v>105403.44591558665</v>
      </c>
      <c r="F26" s="56">
        <f t="shared" si="7"/>
        <v>106064.32552147737</v>
      </c>
      <c r="G26" s="56">
        <f t="shared" si="7"/>
        <v>106729.34884249704</v>
      </c>
      <c r="H26" s="56">
        <f t="shared" si="7"/>
        <v>107398.54185973949</v>
      </c>
      <c r="I26" s="56">
        <f t="shared" si="7"/>
        <v>108071.93071720004</v>
      </c>
      <c r="J26" s="56">
        <f t="shared" si="7"/>
        <v>108749.54172279692</v>
      </c>
    </row>
    <row r="28" ht="12.75">
      <c r="A28" s="45" t="s">
        <v>69</v>
      </c>
    </row>
    <row r="29" ht="12.75">
      <c r="A29" s="46" t="s">
        <v>70</v>
      </c>
    </row>
    <row r="30" ht="12.75">
      <c r="A30" s="47" t="s">
        <v>71</v>
      </c>
    </row>
    <row r="32" spans="1:10" ht="15.75">
      <c r="A32" s="169" t="s">
        <v>85</v>
      </c>
      <c r="B32" s="172"/>
      <c r="C32" s="40"/>
      <c r="D32" s="40"/>
      <c r="E32" s="40"/>
      <c r="F32" s="40"/>
      <c r="G32" s="40"/>
      <c r="H32" s="40"/>
      <c r="I32" s="40"/>
      <c r="J32" s="40"/>
    </row>
    <row r="33" spans="1:10" ht="12.75">
      <c r="A33" s="52" t="s">
        <v>60</v>
      </c>
      <c r="B33" s="51">
        <v>0.0015</v>
      </c>
      <c r="C33" s="53"/>
      <c r="D33" s="53"/>
      <c r="E33" s="53"/>
      <c r="F33" s="53"/>
      <c r="G33" s="53"/>
      <c r="H33" s="53"/>
      <c r="I33" s="53"/>
      <c r="J33" s="53"/>
    </row>
    <row r="34" spans="1:10" ht="12.75">
      <c r="A34" s="173" t="s">
        <v>61</v>
      </c>
      <c r="B34" s="174">
        <v>2010</v>
      </c>
      <c r="C34" s="175">
        <v>2011</v>
      </c>
      <c r="D34" s="175">
        <v>2012</v>
      </c>
      <c r="E34" s="175">
        <v>2013</v>
      </c>
      <c r="F34" s="175">
        <v>2014</v>
      </c>
      <c r="G34" s="175">
        <v>2015</v>
      </c>
      <c r="H34" s="175">
        <v>2016</v>
      </c>
      <c r="I34" s="175">
        <v>2017</v>
      </c>
      <c r="J34" s="175">
        <v>2018</v>
      </c>
    </row>
    <row r="35" spans="1:10" ht="12.75">
      <c r="A35" s="44" t="s">
        <v>72</v>
      </c>
      <c r="B35" s="55">
        <v>2900</v>
      </c>
      <c r="C35" s="56">
        <f>+(B35*$B$33)+B35</f>
        <v>2904.35</v>
      </c>
      <c r="D35" s="56">
        <f aca="true" t="shared" si="8" ref="D35:J35">+(C35*$B$33)+C35</f>
        <v>2908.706525</v>
      </c>
      <c r="E35" s="56">
        <f t="shared" si="8"/>
        <v>2913.0695847875</v>
      </c>
      <c r="F35" s="56">
        <f t="shared" si="8"/>
        <v>2917.439189164681</v>
      </c>
      <c r="G35" s="56">
        <f t="shared" si="8"/>
        <v>2921.815347948428</v>
      </c>
      <c r="H35" s="56">
        <f t="shared" si="8"/>
        <v>2926.1980709703507</v>
      </c>
      <c r="I35" s="56">
        <f t="shared" si="8"/>
        <v>2930.5873680768063</v>
      </c>
      <c r="J35" s="56">
        <f t="shared" si="8"/>
        <v>2934.9832491289217</v>
      </c>
    </row>
    <row r="36" spans="1:10" ht="12.75">
      <c r="A36" s="44" t="s">
        <v>73</v>
      </c>
      <c r="B36" s="55">
        <v>45418</v>
      </c>
      <c r="C36" s="56">
        <f>+(B36*$B$33)+B36</f>
        <v>45486.127</v>
      </c>
      <c r="D36" s="56">
        <f aca="true" t="shared" si="9" ref="D36:J36">+(C36*$B$33)+C36</f>
        <v>45554.3561905</v>
      </c>
      <c r="E36" s="56">
        <f t="shared" si="9"/>
        <v>45622.687724785756</v>
      </c>
      <c r="F36" s="56">
        <f t="shared" si="9"/>
        <v>45691.12175637294</v>
      </c>
      <c r="G36" s="56">
        <f t="shared" si="9"/>
        <v>45759.65843900749</v>
      </c>
      <c r="H36" s="56">
        <f t="shared" si="9"/>
        <v>45828.297926666004</v>
      </c>
      <c r="I36" s="56">
        <f t="shared" si="9"/>
        <v>45897.040373556</v>
      </c>
      <c r="J36" s="56">
        <f t="shared" si="9"/>
        <v>45965.88593411634</v>
      </c>
    </row>
    <row r="37" spans="1:10" ht="12.75">
      <c r="A37" s="52" t="s">
        <v>87</v>
      </c>
      <c r="B37" s="57">
        <v>18.69</v>
      </c>
      <c r="C37" s="56"/>
      <c r="D37" s="56"/>
      <c r="E37" s="56"/>
      <c r="F37" s="56"/>
      <c r="G37" s="56"/>
      <c r="H37" s="56"/>
      <c r="I37" s="56"/>
      <c r="J37" s="56"/>
    </row>
    <row r="38" spans="1:10" ht="12.75">
      <c r="A38" s="173" t="s">
        <v>64</v>
      </c>
      <c r="B38" s="175">
        <v>2010</v>
      </c>
      <c r="C38" s="175">
        <v>2011</v>
      </c>
      <c r="D38" s="175">
        <v>2012</v>
      </c>
      <c r="E38" s="175">
        <v>2013</v>
      </c>
      <c r="F38" s="175">
        <v>2014</v>
      </c>
      <c r="G38" s="175">
        <v>2015</v>
      </c>
      <c r="H38" s="175">
        <v>2016</v>
      </c>
      <c r="I38" s="175">
        <v>2017</v>
      </c>
      <c r="J38" s="175">
        <v>2018</v>
      </c>
    </row>
    <row r="39" spans="1:10" ht="12.75">
      <c r="A39" s="58" t="s">
        <v>88</v>
      </c>
      <c r="B39" s="56">
        <f>+B36*$B$37</f>
        <v>848862.42</v>
      </c>
      <c r="C39" s="56">
        <f aca="true" t="shared" si="10" ref="C39:J39">+C36*$B$37</f>
        <v>850135.71363</v>
      </c>
      <c r="D39" s="56">
        <f t="shared" si="10"/>
        <v>851410.9172004451</v>
      </c>
      <c r="E39" s="56">
        <f t="shared" si="10"/>
        <v>852688.0335762459</v>
      </c>
      <c r="F39" s="56">
        <f t="shared" si="10"/>
        <v>853967.0656266103</v>
      </c>
      <c r="G39" s="56">
        <f t="shared" si="10"/>
        <v>855248.0162250501</v>
      </c>
      <c r="H39" s="56">
        <f t="shared" si="10"/>
        <v>856530.8882493877</v>
      </c>
      <c r="I39" s="56">
        <f t="shared" si="10"/>
        <v>857815.6845817617</v>
      </c>
      <c r="J39" s="56">
        <f t="shared" si="10"/>
        <v>859102.4081086344</v>
      </c>
    </row>
    <row r="40" spans="1:10" ht="12.75">
      <c r="A40" s="44" t="s">
        <v>65</v>
      </c>
      <c r="B40" s="56">
        <f>+B39*10%</f>
        <v>84886.24200000001</v>
      </c>
      <c r="C40" s="56">
        <f aca="true" t="shared" si="11" ref="C40:J40">+C39*10%</f>
        <v>85013.57136300001</v>
      </c>
      <c r="D40" s="56">
        <f t="shared" si="11"/>
        <v>85141.09172004451</v>
      </c>
      <c r="E40" s="56">
        <f t="shared" si="11"/>
        <v>85268.8033576246</v>
      </c>
      <c r="F40" s="56">
        <f t="shared" si="11"/>
        <v>85396.70656266104</v>
      </c>
      <c r="G40" s="56">
        <f t="shared" si="11"/>
        <v>85524.80162250501</v>
      </c>
      <c r="H40" s="56">
        <f t="shared" si="11"/>
        <v>85653.08882493878</v>
      </c>
      <c r="I40" s="56">
        <f t="shared" si="11"/>
        <v>85781.56845817617</v>
      </c>
      <c r="J40" s="56">
        <f t="shared" si="11"/>
        <v>85910.24081086344</v>
      </c>
    </row>
    <row r="42" ht="12.75">
      <c r="A42" s="45" t="s">
        <v>74</v>
      </c>
    </row>
    <row r="43" ht="12.75">
      <c r="A43" s="46" t="s">
        <v>75</v>
      </c>
    </row>
    <row r="44" ht="12.75">
      <c r="A44" s="48" t="s">
        <v>71</v>
      </c>
    </row>
    <row r="47" spans="1:10" ht="15.75">
      <c r="A47" s="169" t="s">
        <v>86</v>
      </c>
      <c r="B47" s="172"/>
      <c r="C47" s="40"/>
      <c r="D47" s="40"/>
      <c r="E47" s="40"/>
      <c r="F47" s="40"/>
      <c r="G47" s="40"/>
      <c r="H47" s="40"/>
      <c r="I47" s="40"/>
      <c r="J47" s="40"/>
    </row>
    <row r="48" spans="1:10" ht="12.75">
      <c r="A48" s="52" t="s">
        <v>60</v>
      </c>
      <c r="B48" s="51">
        <v>0.0034</v>
      </c>
      <c r="C48" s="53"/>
      <c r="D48" s="53"/>
      <c r="E48" s="53"/>
      <c r="F48" s="53"/>
      <c r="G48" s="53"/>
      <c r="H48" s="53"/>
      <c r="I48" s="53"/>
      <c r="J48" s="53"/>
    </row>
    <row r="49" spans="1:10" ht="12.75">
      <c r="A49" s="173" t="s">
        <v>61</v>
      </c>
      <c r="B49" s="174">
        <v>2010</v>
      </c>
      <c r="C49" s="175">
        <v>2011</v>
      </c>
      <c r="D49" s="175">
        <v>2012</v>
      </c>
      <c r="E49" s="175">
        <v>2013</v>
      </c>
      <c r="F49" s="175">
        <v>2014</v>
      </c>
      <c r="G49" s="175">
        <v>2015</v>
      </c>
      <c r="H49" s="175">
        <v>2016</v>
      </c>
      <c r="I49" s="175">
        <v>2017</v>
      </c>
      <c r="J49" s="175">
        <v>2018</v>
      </c>
    </row>
    <row r="50" spans="1:10" ht="12.75">
      <c r="A50" s="44" t="s">
        <v>76</v>
      </c>
      <c r="B50" s="55">
        <v>50000</v>
      </c>
      <c r="C50" s="56">
        <f>+(B50*$B$48)+B50</f>
        <v>50170</v>
      </c>
      <c r="D50" s="56">
        <f aca="true" t="shared" si="12" ref="D50:J50">+(C50*$B$48)+C50</f>
        <v>50340.578</v>
      </c>
      <c r="E50" s="56">
        <f t="shared" si="12"/>
        <v>50511.7359652</v>
      </c>
      <c r="F50" s="56">
        <f t="shared" si="12"/>
        <v>50683.475867481684</v>
      </c>
      <c r="G50" s="56">
        <f t="shared" si="12"/>
        <v>50855.79968543112</v>
      </c>
      <c r="H50" s="56">
        <f t="shared" si="12"/>
        <v>51028.70940436159</v>
      </c>
      <c r="I50" s="56">
        <f t="shared" si="12"/>
        <v>51202.20701633642</v>
      </c>
      <c r="J50" s="56">
        <f t="shared" si="12"/>
        <v>51376.294520191965</v>
      </c>
    </row>
    <row r="51" spans="1:10" ht="12.75">
      <c r="A51" s="44" t="s">
        <v>77</v>
      </c>
      <c r="B51" s="55">
        <v>117425</v>
      </c>
      <c r="C51" s="56">
        <f>+(B51*$B$48)+B51</f>
        <v>117824.245</v>
      </c>
      <c r="D51" s="56">
        <f aca="true" t="shared" si="13" ref="D51:J51">+(C51*$B$48)+C51</f>
        <v>118224.84743299999</v>
      </c>
      <c r="E51" s="56">
        <f t="shared" si="13"/>
        <v>118626.81191427218</v>
      </c>
      <c r="F51" s="56">
        <f t="shared" si="13"/>
        <v>119030.1430747807</v>
      </c>
      <c r="G51" s="56">
        <f t="shared" si="13"/>
        <v>119434.84556123495</v>
      </c>
      <c r="H51" s="56">
        <f t="shared" si="13"/>
        <v>119840.92403614314</v>
      </c>
      <c r="I51" s="56">
        <f t="shared" si="13"/>
        <v>120248.38317786602</v>
      </c>
      <c r="J51" s="56">
        <f t="shared" si="13"/>
        <v>120657.22768067077</v>
      </c>
    </row>
    <row r="52" spans="1:10" ht="12.75">
      <c r="A52" s="52" t="s">
        <v>87</v>
      </c>
      <c r="B52" s="57">
        <v>18.69</v>
      </c>
      <c r="C52" s="56"/>
      <c r="D52" s="56"/>
      <c r="E52" s="56"/>
      <c r="F52" s="56"/>
      <c r="G52" s="56"/>
      <c r="H52" s="56"/>
      <c r="I52" s="56"/>
      <c r="J52" s="56"/>
    </row>
    <row r="53" spans="1:10" ht="12.75">
      <c r="A53" s="173" t="s">
        <v>64</v>
      </c>
      <c r="B53" s="175">
        <v>2010</v>
      </c>
      <c r="C53" s="175">
        <v>2011</v>
      </c>
      <c r="D53" s="175">
        <v>2012</v>
      </c>
      <c r="E53" s="175">
        <v>2013</v>
      </c>
      <c r="F53" s="175">
        <v>2014</v>
      </c>
      <c r="G53" s="175">
        <v>2015</v>
      </c>
      <c r="H53" s="175">
        <v>2016</v>
      </c>
      <c r="I53" s="175">
        <v>2017</v>
      </c>
      <c r="J53" s="175">
        <v>2018</v>
      </c>
    </row>
    <row r="54" spans="1:10" ht="12.75">
      <c r="A54" s="58" t="s">
        <v>88</v>
      </c>
      <c r="B54" s="56">
        <f>+B51*$B$52</f>
        <v>2194673.25</v>
      </c>
      <c r="C54" s="56">
        <f aca="true" t="shared" si="14" ref="C54:J54">+C51*$B$52</f>
        <v>2202135.13905</v>
      </c>
      <c r="D54" s="56">
        <f t="shared" si="14"/>
        <v>2209622.39852277</v>
      </c>
      <c r="E54" s="56">
        <f t="shared" si="14"/>
        <v>2217135.1146777472</v>
      </c>
      <c r="F54" s="56">
        <f t="shared" si="14"/>
        <v>2224673.3740676516</v>
      </c>
      <c r="G54" s="56">
        <f t="shared" si="14"/>
        <v>2232237.2635394814</v>
      </c>
      <c r="H54" s="56">
        <f t="shared" si="14"/>
        <v>2239826.8702355153</v>
      </c>
      <c r="I54" s="56">
        <f t="shared" si="14"/>
        <v>2247442.281594316</v>
      </c>
      <c r="J54" s="56">
        <f t="shared" si="14"/>
        <v>2255083.5853517368</v>
      </c>
    </row>
    <row r="55" spans="1:10" ht="12.75">
      <c r="A55" s="44" t="s">
        <v>65</v>
      </c>
      <c r="B55" s="56">
        <f>+B54*10%</f>
        <v>219467.325</v>
      </c>
      <c r="C55" s="56">
        <f aca="true" t="shared" si="15" ref="C55:J55">+C54*10%</f>
        <v>220213.513905</v>
      </c>
      <c r="D55" s="56">
        <f t="shared" si="15"/>
        <v>220962.239852277</v>
      </c>
      <c r="E55" s="56">
        <f t="shared" si="15"/>
        <v>221713.51146777475</v>
      </c>
      <c r="F55" s="56">
        <f t="shared" si="15"/>
        <v>222467.33740676517</v>
      </c>
      <c r="G55" s="56">
        <f t="shared" si="15"/>
        <v>223223.72635394815</v>
      </c>
      <c r="H55" s="56">
        <f t="shared" si="15"/>
        <v>223982.68702355155</v>
      </c>
      <c r="I55" s="56">
        <f t="shared" si="15"/>
        <v>224744.2281594316</v>
      </c>
      <c r="J55" s="56">
        <f t="shared" si="15"/>
        <v>225508.3585351737</v>
      </c>
    </row>
    <row r="57" ht="12.75">
      <c r="A57" s="45" t="s">
        <v>78</v>
      </c>
    </row>
    <row r="58" ht="12.75">
      <c r="A58" s="46" t="s">
        <v>79</v>
      </c>
    </row>
    <row r="59" ht="12.75">
      <c r="A59" s="48" t="s">
        <v>71</v>
      </c>
    </row>
    <row r="61" spans="2:10" ht="15.75">
      <c r="B61" s="63"/>
      <c r="C61" s="40"/>
      <c r="D61" s="40"/>
      <c r="E61" s="172" t="s">
        <v>80</v>
      </c>
      <c r="F61" s="176"/>
      <c r="G61" s="176"/>
      <c r="H61" s="40"/>
      <c r="I61" s="40"/>
      <c r="J61" s="40"/>
    </row>
    <row r="62" spans="1:10" ht="12.75">
      <c r="A62" s="52" t="s">
        <v>81</v>
      </c>
      <c r="B62" s="51">
        <f>+(B48+B33+B19+B7)/4</f>
        <v>0.0045675</v>
      </c>
      <c r="C62" s="53"/>
      <c r="D62" s="53"/>
      <c r="E62" s="53"/>
      <c r="F62" s="53"/>
      <c r="G62" s="53"/>
      <c r="H62" s="53"/>
      <c r="I62" s="53"/>
      <c r="J62" s="53"/>
    </row>
    <row r="63" spans="1:10" ht="12.75">
      <c r="A63" s="173" t="s">
        <v>61</v>
      </c>
      <c r="B63" s="174">
        <v>2010</v>
      </c>
      <c r="C63" s="175">
        <v>2011</v>
      </c>
      <c r="D63" s="175">
        <v>2012</v>
      </c>
      <c r="E63" s="175">
        <v>2013</v>
      </c>
      <c r="F63" s="175">
        <v>2014</v>
      </c>
      <c r="G63" s="175">
        <v>2015</v>
      </c>
      <c r="H63" s="175">
        <v>2016</v>
      </c>
      <c r="I63" s="175">
        <v>2017</v>
      </c>
      <c r="J63" s="175">
        <v>2018</v>
      </c>
    </row>
    <row r="64" spans="1:10" ht="12.75">
      <c r="A64" s="44" t="s">
        <v>82</v>
      </c>
      <c r="B64" s="55">
        <f>+(+B50+B35+B21+B9)/4</f>
        <v>55075.25</v>
      </c>
      <c r="C64" s="56">
        <f>+(B64*$B$62)+B64</f>
        <v>55326.806204375</v>
      </c>
      <c r="D64" s="56">
        <f aca="true" t="shared" si="16" ref="D64:J64">+(C64*$B$62)+C64</f>
        <v>55579.51139171349</v>
      </c>
      <c r="E64" s="56">
        <f t="shared" si="16"/>
        <v>55833.37080999514</v>
      </c>
      <c r="F64" s="56">
        <f t="shared" si="16"/>
        <v>56088.389731169795</v>
      </c>
      <c r="G64" s="56">
        <f t="shared" si="16"/>
        <v>56344.573451266915</v>
      </c>
      <c r="H64" s="56">
        <f t="shared" si="16"/>
        <v>56601.92729050558</v>
      </c>
      <c r="I64" s="56">
        <f t="shared" si="16"/>
        <v>56860.45659340496</v>
      </c>
      <c r="J64" s="56">
        <f t="shared" si="16"/>
        <v>57120.16672889534</v>
      </c>
    </row>
    <row r="65" spans="1:10" ht="12.75">
      <c r="A65" s="44" t="s">
        <v>83</v>
      </c>
      <c r="B65" s="55">
        <f>+(+B51+B36+B22+B10)/4</f>
        <v>116068</v>
      </c>
      <c r="C65" s="56">
        <f>+(B65*$B$62)+B65</f>
        <v>116598.14059</v>
      </c>
      <c r="D65" s="56">
        <f aca="true" t="shared" si="17" ref="D65:J65">+(C65*$B$62)+C65</f>
        <v>117130.70259714482</v>
      </c>
      <c r="E65" s="56">
        <f t="shared" si="17"/>
        <v>117665.69708125727</v>
      </c>
      <c r="F65" s="56">
        <f t="shared" si="17"/>
        <v>118203.13515267591</v>
      </c>
      <c r="G65" s="56">
        <f t="shared" si="17"/>
        <v>118743.02797248575</v>
      </c>
      <c r="H65" s="56">
        <f t="shared" si="17"/>
        <v>119285.38675275008</v>
      </c>
      <c r="I65" s="56">
        <f t="shared" si="17"/>
        <v>119830.22275674327</v>
      </c>
      <c r="J65" s="56">
        <f t="shared" si="17"/>
        <v>120377.54729918469</v>
      </c>
    </row>
    <row r="66" spans="1:10" ht="12.75">
      <c r="A66" s="52" t="s">
        <v>87</v>
      </c>
      <c r="B66" s="57">
        <v>18.69</v>
      </c>
      <c r="C66" s="56"/>
      <c r="D66" s="56"/>
      <c r="E66" s="56"/>
      <c r="F66" s="56"/>
      <c r="G66" s="56"/>
      <c r="H66" s="56"/>
      <c r="I66" s="56"/>
      <c r="J66" s="56"/>
    </row>
    <row r="67" spans="1:10" ht="12.75">
      <c r="A67" s="177" t="s">
        <v>64</v>
      </c>
      <c r="B67" s="178">
        <v>2010</v>
      </c>
      <c r="C67" s="178">
        <v>2011</v>
      </c>
      <c r="D67" s="178">
        <v>2012</v>
      </c>
      <c r="E67" s="178">
        <v>2013</v>
      </c>
      <c r="F67" s="178">
        <v>2014</v>
      </c>
      <c r="G67" s="178">
        <v>2015</v>
      </c>
      <c r="H67" s="178">
        <v>2016</v>
      </c>
      <c r="I67" s="178">
        <v>2017</v>
      </c>
      <c r="J67" s="178">
        <v>2018</v>
      </c>
    </row>
    <row r="68" spans="1:10" ht="12.75">
      <c r="A68" s="179" t="s">
        <v>88</v>
      </c>
      <c r="B68" s="180">
        <f>+B65*$B$66</f>
        <v>2169310.92</v>
      </c>
      <c r="C68" s="180">
        <f aca="true" t="shared" si="18" ref="C68:J68">+C65*$B$66</f>
        <v>2179219.2476271</v>
      </c>
      <c r="D68" s="180">
        <f t="shared" si="18"/>
        <v>2189172.8315406367</v>
      </c>
      <c r="E68" s="180">
        <f t="shared" si="18"/>
        <v>2199171.8784486987</v>
      </c>
      <c r="F68" s="180">
        <f t="shared" si="18"/>
        <v>2209216.596003513</v>
      </c>
      <c r="G68" s="180">
        <f t="shared" si="18"/>
        <v>2219307.1928057587</v>
      </c>
      <c r="H68" s="180">
        <f t="shared" si="18"/>
        <v>2229443.878408899</v>
      </c>
      <c r="I68" s="180">
        <f t="shared" si="18"/>
        <v>2239626.863323532</v>
      </c>
      <c r="J68" s="180">
        <f t="shared" si="18"/>
        <v>2249856.359021762</v>
      </c>
    </row>
    <row r="69" spans="1:10" ht="12.75">
      <c r="A69" s="181" t="s">
        <v>65</v>
      </c>
      <c r="B69" s="180">
        <f>+B68*10%</f>
        <v>216931.092</v>
      </c>
      <c r="C69" s="180">
        <f aca="true" t="shared" si="19" ref="C69:J69">+C68*10%</f>
        <v>217921.92476271</v>
      </c>
      <c r="D69" s="180">
        <f t="shared" si="19"/>
        <v>218917.28315406368</v>
      </c>
      <c r="E69" s="180">
        <f t="shared" si="19"/>
        <v>219917.18784486988</v>
      </c>
      <c r="F69" s="180">
        <f t="shared" si="19"/>
        <v>220921.6596003513</v>
      </c>
      <c r="G69" s="180">
        <f t="shared" si="19"/>
        <v>221930.71928057587</v>
      </c>
      <c r="H69" s="180">
        <f t="shared" si="19"/>
        <v>222944.38784088992</v>
      </c>
      <c r="I69" s="180">
        <f t="shared" si="19"/>
        <v>223962.68633235322</v>
      </c>
      <c r="J69" s="180">
        <f t="shared" si="19"/>
        <v>224985.6359021762</v>
      </c>
    </row>
    <row r="76" s="54" customFormat="1" ht="12.75"/>
    <row r="77" s="54" customFormat="1" ht="12.75"/>
    <row r="78" s="54" customFormat="1" ht="12.75"/>
    <row r="79" s="54" customFormat="1" ht="12.75"/>
    <row r="80" s="54" customFormat="1" ht="12.75"/>
    <row r="81" s="54" customFormat="1" ht="12.75"/>
    <row r="84" ht="12.75">
      <c r="C84" s="66"/>
    </row>
  </sheetData>
  <hyperlinks>
    <hyperlink ref="A59" r:id="rId1" display="http://es.wikipedia.org"/>
    <hyperlink ref="A44" r:id="rId2" display="http://es.wikipedia.org"/>
    <hyperlink ref="A30" r:id="rId3" display="http://es.wikipedia.org"/>
  </hyperlinks>
  <printOptions/>
  <pageMargins left="0.75" right="0.75" top="1" bottom="1" header="0" footer="0"/>
  <pageSetup horizontalDpi="300" verticalDpi="300" orientation="landscape" paperSize="9" scale="80" r:id="rId5"/>
  <drawing r:id="rId4"/>
</worksheet>
</file>

<file path=xl/worksheets/sheet4.xml><?xml version="1.0" encoding="utf-8"?>
<worksheet xmlns="http://schemas.openxmlformats.org/spreadsheetml/2006/main" xmlns:r="http://schemas.openxmlformats.org/officeDocument/2006/relationships">
  <sheetPr>
    <tabColor indexed="51"/>
    <pageSetUpPr fitToPage="1"/>
  </sheetPr>
  <dimension ref="A5:I49"/>
  <sheetViews>
    <sheetView workbookViewId="0" topLeftCell="B21">
      <selection activeCell="I1" sqref="A1:I51"/>
    </sheetView>
  </sheetViews>
  <sheetFormatPr defaultColWidth="11.421875" defaultRowHeight="12.75"/>
  <cols>
    <col min="1" max="1" width="34.7109375" style="0" customWidth="1"/>
    <col min="2" max="2" width="23.8515625" style="0" customWidth="1"/>
    <col min="3" max="3" width="20.00390625" style="0" customWidth="1"/>
    <col min="4" max="4" width="26.00390625" style="0" bestFit="1" customWidth="1"/>
    <col min="5" max="5" width="12.7109375" style="0" bestFit="1" customWidth="1"/>
    <col min="6" max="6" width="17.00390625" style="0" bestFit="1" customWidth="1"/>
    <col min="8" max="8" width="13.57421875" style="0" bestFit="1" customWidth="1"/>
    <col min="9" max="9" width="15.00390625" style="0" bestFit="1" customWidth="1"/>
  </cols>
  <sheetData>
    <row r="5" spans="1:5" ht="15">
      <c r="A5" s="170" t="s">
        <v>106</v>
      </c>
      <c r="B5" s="170"/>
      <c r="C5" s="182"/>
      <c r="D5" s="182"/>
      <c r="E5" s="131"/>
    </row>
    <row r="6" spans="1:3" ht="26.25" customHeight="1">
      <c r="A6" s="11" t="s">
        <v>102</v>
      </c>
      <c r="B6" s="70">
        <v>0.9</v>
      </c>
      <c r="C6" s="11" t="s">
        <v>120</v>
      </c>
    </row>
    <row r="7" spans="1:4" ht="12.75">
      <c r="A7" s="159" t="s">
        <v>98</v>
      </c>
      <c r="B7" s="159" t="s">
        <v>100</v>
      </c>
      <c r="C7" s="159" t="s">
        <v>99</v>
      </c>
      <c r="D7" s="159" t="s">
        <v>151</v>
      </c>
    </row>
    <row r="8" spans="1:4" ht="12.75">
      <c r="A8" s="2" t="s">
        <v>103</v>
      </c>
      <c r="B8" s="68">
        <v>0.77</v>
      </c>
      <c r="C8" s="79">
        <f>+DEMANDA!$C$13*B8</f>
        <v>3566569.61631663</v>
      </c>
      <c r="D8" s="69">
        <f>+C8*$B$6</f>
        <v>3209912.654684967</v>
      </c>
    </row>
    <row r="9" spans="1:4" ht="12.75">
      <c r="A9" s="2" t="s">
        <v>104</v>
      </c>
      <c r="B9" s="68">
        <v>0.04</v>
      </c>
      <c r="C9" s="79">
        <f>+DEMANDA!$C$13*B9</f>
        <v>185276.34370476002</v>
      </c>
      <c r="D9" s="69">
        <f>+C9*$B$6</f>
        <v>166748.709334284</v>
      </c>
    </row>
    <row r="10" spans="1:4" ht="12.75">
      <c r="A10" s="2" t="s">
        <v>105</v>
      </c>
      <c r="B10" s="68">
        <v>0.07</v>
      </c>
      <c r="C10" s="79">
        <f>+DEMANDA!$C$13*B10</f>
        <v>324233.60148333</v>
      </c>
      <c r="D10" s="69">
        <f>+C10*$B$6</f>
        <v>291810.241334997</v>
      </c>
    </row>
    <row r="11" spans="1:4" ht="12.75">
      <c r="A11" s="2" t="s">
        <v>97</v>
      </c>
      <c r="B11" s="68">
        <v>0.12</v>
      </c>
      <c r="C11" s="79">
        <f>+DEMANDA!$C$13*B11</f>
        <v>555829.03111428</v>
      </c>
      <c r="D11" s="69">
        <f>+C11*$B$6</f>
        <v>500246.128002852</v>
      </c>
    </row>
    <row r="12" spans="1:4" ht="12.75">
      <c r="A12" s="183" t="s">
        <v>101</v>
      </c>
      <c r="B12" s="184">
        <f>SUM(B8:B11)</f>
        <v>1</v>
      </c>
      <c r="C12" s="185">
        <f>SUM(C8:C11)</f>
        <v>4631908.592619</v>
      </c>
      <c r="D12" s="186">
        <f>SUM(D8:D11)</f>
        <v>4168717.7333571003</v>
      </c>
    </row>
    <row r="13" spans="1:4" ht="12.75">
      <c r="A13" t="s">
        <v>121</v>
      </c>
      <c r="D13" s="67"/>
    </row>
    <row r="14" ht="12.75">
      <c r="A14" t="s">
        <v>152</v>
      </c>
    </row>
    <row r="18" spans="1:7" ht="12.75">
      <c r="A18" s="187" t="s">
        <v>124</v>
      </c>
      <c r="B18" s="132"/>
      <c r="C18" s="132"/>
      <c r="D18" s="188"/>
      <c r="E18" s="188"/>
      <c r="F18" s="42"/>
      <c r="G18" s="42"/>
    </row>
    <row r="19" spans="1:7" ht="12.75">
      <c r="A19" s="46"/>
      <c r="B19" s="42"/>
      <c r="C19" s="42"/>
      <c r="D19" s="42"/>
      <c r="E19" s="42"/>
      <c r="F19" s="42"/>
      <c r="G19" s="42"/>
    </row>
    <row r="20" spans="1:7" ht="12.75">
      <c r="A20" s="46"/>
      <c r="B20" s="42"/>
      <c r="C20" s="42"/>
      <c r="D20" s="42"/>
      <c r="E20" s="42"/>
      <c r="F20" s="42"/>
      <c r="G20" s="59"/>
    </row>
    <row r="21" spans="1:7" ht="12.75">
      <c r="A21" s="159" t="s">
        <v>54</v>
      </c>
      <c r="B21" s="159" t="s">
        <v>122</v>
      </c>
      <c r="C21" s="159" t="s">
        <v>59</v>
      </c>
      <c r="D21" s="159" t="s">
        <v>125</v>
      </c>
      <c r="E21" s="77"/>
      <c r="F21" s="77"/>
      <c r="G21" s="6"/>
    </row>
    <row r="22" spans="1:7" ht="12.75">
      <c r="A22" s="65" t="s">
        <v>55</v>
      </c>
      <c r="B22" s="71">
        <v>0.16</v>
      </c>
      <c r="C22" s="72">
        <f>+B22*DEMANDA!$C$65</f>
        <v>18655.7024944</v>
      </c>
      <c r="D22" s="65">
        <v>1685</v>
      </c>
      <c r="E22" s="78"/>
      <c r="F22" s="73"/>
      <c r="G22" s="76"/>
    </row>
    <row r="23" spans="1:7" ht="12.75">
      <c r="A23" s="65" t="s">
        <v>56</v>
      </c>
      <c r="B23" s="71">
        <v>0.23</v>
      </c>
      <c r="C23" s="72">
        <f>+B23*DEMANDA!$C$65</f>
        <v>26817.5723357</v>
      </c>
      <c r="D23" s="65">
        <v>2423</v>
      </c>
      <c r="E23" s="73"/>
      <c r="F23" s="73"/>
      <c r="G23" s="76"/>
    </row>
    <row r="24" spans="1:7" ht="12.75">
      <c r="A24" s="65" t="s">
        <v>57</v>
      </c>
      <c r="B24" s="71">
        <v>0.22</v>
      </c>
      <c r="C24" s="72">
        <f>+B24*DEMANDA!$C$65</f>
        <v>25651.5909298</v>
      </c>
      <c r="D24" s="65">
        <v>2317</v>
      </c>
      <c r="E24" s="73"/>
      <c r="F24" s="73"/>
      <c r="G24" s="76"/>
    </row>
    <row r="25" spans="1:7" ht="12.75">
      <c r="A25" s="65" t="s">
        <v>58</v>
      </c>
      <c r="B25" s="71">
        <v>0.06</v>
      </c>
      <c r="C25" s="72">
        <f>+B25*DEMANDA!$C$65</f>
        <v>6995.888435399999</v>
      </c>
      <c r="D25" s="65">
        <v>632</v>
      </c>
      <c r="E25" s="73"/>
      <c r="F25" s="73"/>
      <c r="G25" s="76"/>
    </row>
    <row r="26" spans="1:7" ht="12.75">
      <c r="A26" s="65" t="s">
        <v>123</v>
      </c>
      <c r="B26" s="71">
        <v>0.1</v>
      </c>
      <c r="C26" s="72">
        <f>+B26*DEMANDA!$C$65</f>
        <v>11659.814059</v>
      </c>
      <c r="D26" s="65">
        <v>1053</v>
      </c>
      <c r="E26" s="73"/>
      <c r="F26" s="73"/>
      <c r="G26" s="76"/>
    </row>
    <row r="27" spans="1:7" ht="12.75">
      <c r="A27" s="183" t="s">
        <v>5</v>
      </c>
      <c r="B27" s="184">
        <f>SUM(B22:B26)</f>
        <v>0.7699999999999999</v>
      </c>
      <c r="C27" s="200">
        <f>SUM(C22:C26)</f>
        <v>89780.5682543</v>
      </c>
      <c r="D27" s="186">
        <f>SUM(D22:D26)</f>
        <v>8110</v>
      </c>
      <c r="E27" s="41"/>
      <c r="F27" s="6"/>
      <c r="G27" s="6"/>
    </row>
    <row r="28" ht="12.75">
      <c r="D28" s="67"/>
    </row>
    <row r="29" ht="12.75">
      <c r="A29" s="73" t="s">
        <v>150</v>
      </c>
    </row>
    <row r="32" ht="12.75">
      <c r="A32" s="189" t="s">
        <v>126</v>
      </c>
    </row>
    <row r="33" ht="13.5" thickBot="1"/>
    <row r="34" spans="1:2" ht="12.75">
      <c r="A34" s="190" t="s">
        <v>127</v>
      </c>
      <c r="B34" s="190"/>
    </row>
    <row r="35" spans="1:2" ht="12.75">
      <c r="A35" s="74" t="s">
        <v>128</v>
      </c>
      <c r="B35" s="74">
        <v>0.999999930419366</v>
      </c>
    </row>
    <row r="36" spans="1:2" ht="12.75">
      <c r="A36" s="74" t="s">
        <v>129</v>
      </c>
      <c r="B36" s="74">
        <v>0.9999998608387368</v>
      </c>
    </row>
    <row r="37" spans="1:2" ht="12.75">
      <c r="A37" s="74" t="s">
        <v>130</v>
      </c>
      <c r="B37" s="74">
        <v>0.9999998144516491</v>
      </c>
    </row>
    <row r="38" spans="1:2" ht="12.75">
      <c r="A38" s="74" t="s">
        <v>131</v>
      </c>
      <c r="B38" s="74">
        <v>0.335908543919829</v>
      </c>
    </row>
    <row r="39" spans="1:2" ht="13.5" thickBot="1">
      <c r="A39" s="75" t="s">
        <v>132</v>
      </c>
      <c r="B39" s="75">
        <v>5</v>
      </c>
    </row>
    <row r="41" ht="13.5" thickBot="1">
      <c r="A41" s="189" t="s">
        <v>133</v>
      </c>
    </row>
    <row r="42" spans="1:6" ht="12.75">
      <c r="A42" s="191"/>
      <c r="B42" s="192" t="s">
        <v>137</v>
      </c>
      <c r="C42" s="192" t="s">
        <v>138</v>
      </c>
      <c r="D42" s="192" t="s">
        <v>139</v>
      </c>
      <c r="E42" s="192" t="s">
        <v>140</v>
      </c>
      <c r="F42" s="192" t="s">
        <v>141</v>
      </c>
    </row>
    <row r="43" spans="1:6" ht="12.75">
      <c r="A43" s="74" t="s">
        <v>134</v>
      </c>
      <c r="B43" s="74">
        <v>1</v>
      </c>
      <c r="C43" s="74">
        <v>2432455.6614963505</v>
      </c>
      <c r="D43" s="74">
        <v>2432455.6614963505</v>
      </c>
      <c r="E43" s="74">
        <v>21557720.2560658</v>
      </c>
      <c r="F43" s="74">
        <v>2.2032634268945002E-11</v>
      </c>
    </row>
    <row r="44" spans="1:6" ht="12.75">
      <c r="A44" s="74" t="s">
        <v>135</v>
      </c>
      <c r="B44" s="74">
        <v>3</v>
      </c>
      <c r="C44" s="74">
        <v>0.3385036496350191</v>
      </c>
      <c r="D44" s="74">
        <v>0.1128345498783397</v>
      </c>
      <c r="E44" s="74"/>
      <c r="F44" s="74"/>
    </row>
    <row r="45" spans="1:6" ht="13.5" thickBot="1">
      <c r="A45" s="75" t="s">
        <v>101</v>
      </c>
      <c r="B45" s="75">
        <v>4</v>
      </c>
      <c r="C45" s="75">
        <v>2432456</v>
      </c>
      <c r="D45" s="75"/>
      <c r="E45" s="75"/>
      <c r="F45" s="75"/>
    </row>
    <row r="46" ht="13.5" thickBot="1"/>
    <row r="47" spans="1:9" ht="12.75">
      <c r="A47" s="191"/>
      <c r="B47" s="192" t="s">
        <v>142</v>
      </c>
      <c r="C47" s="192" t="s">
        <v>131</v>
      </c>
      <c r="D47" s="192" t="s">
        <v>143</v>
      </c>
      <c r="E47" s="192" t="s">
        <v>144</v>
      </c>
      <c r="F47" s="192" t="s">
        <v>145</v>
      </c>
      <c r="G47" s="192" t="s">
        <v>146</v>
      </c>
      <c r="H47" s="192" t="s">
        <v>147</v>
      </c>
      <c r="I47" s="192" t="s">
        <v>148</v>
      </c>
    </row>
    <row r="48" spans="1:9" ht="12.75">
      <c r="A48" s="74" t="s">
        <v>136</v>
      </c>
      <c r="B48" s="74">
        <v>-0.26916058394181164</v>
      </c>
      <c r="C48" s="74">
        <v>0.38032417811040276</v>
      </c>
      <c r="D48" s="74">
        <v>-0.7077135755057836</v>
      </c>
      <c r="E48" s="74">
        <v>0.5301501354951466</v>
      </c>
      <c r="F48" s="74">
        <v>-1.4795218592284027</v>
      </c>
      <c r="G48" s="74">
        <v>0.9412006913447795</v>
      </c>
      <c r="H48" s="74">
        <v>-1.4795218592284027</v>
      </c>
      <c r="I48" s="74">
        <v>0.9412006913447795</v>
      </c>
    </row>
    <row r="49" spans="1:9" ht="13.5" thickBot="1">
      <c r="A49" s="75" t="s">
        <v>149</v>
      </c>
      <c r="B49" s="75">
        <v>0.08408087412945163</v>
      </c>
      <c r="C49" s="75">
        <v>1.8109055598145295E-05</v>
      </c>
      <c r="D49" s="75">
        <v>4643.029211201001</v>
      </c>
      <c r="E49" s="75">
        <v>2.2032634268945E-11</v>
      </c>
      <c r="F49" s="75">
        <v>0.08402324303237832</v>
      </c>
      <c r="G49" s="75">
        <v>0.08413850522652494</v>
      </c>
      <c r="H49" s="75">
        <v>0.08402324303237832</v>
      </c>
      <c r="I49" s="75">
        <v>0.08413850522652494</v>
      </c>
    </row>
  </sheetData>
  <printOptions/>
  <pageMargins left="0.7874015748031497" right="0.7874015748031497" top="0.984251968503937" bottom="0.984251968503937" header="0" footer="0"/>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5:I26"/>
  <sheetViews>
    <sheetView workbookViewId="0" topLeftCell="A1">
      <selection activeCell="I1" sqref="A1:I26"/>
    </sheetView>
  </sheetViews>
  <sheetFormatPr defaultColWidth="11.421875" defaultRowHeight="12.75"/>
  <cols>
    <col min="1" max="1" width="52.28125" style="42" customWidth="1"/>
    <col min="2" max="2" width="19.8515625" style="42" bestFit="1" customWidth="1"/>
    <col min="3" max="3" width="13.00390625" style="42" bestFit="1" customWidth="1"/>
    <col min="4" max="4" width="14.28125" style="42" bestFit="1" customWidth="1"/>
    <col min="5" max="5" width="11.421875" style="42" customWidth="1"/>
    <col min="6" max="6" width="13.421875" style="42" bestFit="1" customWidth="1"/>
    <col min="7" max="7" width="13.421875" style="42" customWidth="1"/>
    <col min="8" max="8" width="18.421875" style="42" bestFit="1" customWidth="1"/>
    <col min="9" max="9" width="29.7109375" style="42" customWidth="1"/>
    <col min="10" max="16384" width="11.421875" style="42" customWidth="1"/>
  </cols>
  <sheetData>
    <row r="5" spans="1:9" ht="15">
      <c r="A5" s="193" t="s">
        <v>160</v>
      </c>
      <c r="B5" s="89"/>
      <c r="C5" s="89"/>
      <c r="D5" s="82"/>
      <c r="E5" s="82"/>
      <c r="F5" s="82"/>
      <c r="G5" s="82"/>
      <c r="H5" s="82"/>
      <c r="I5" s="82"/>
    </row>
    <row r="6" spans="1:9" ht="15">
      <c r="A6" s="89" t="s">
        <v>91</v>
      </c>
      <c r="B6" s="89"/>
      <c r="C6" s="89"/>
      <c r="D6" s="82"/>
      <c r="E6" s="82"/>
      <c r="F6" s="82"/>
      <c r="G6" s="82"/>
      <c r="H6" s="82"/>
      <c r="I6" s="82"/>
    </row>
    <row r="7" spans="1:9" ht="15">
      <c r="A7" s="89" t="s">
        <v>118</v>
      </c>
      <c r="B7" s="89" t="s">
        <v>120</v>
      </c>
      <c r="C7" s="89"/>
      <c r="D7" s="82"/>
      <c r="E7" s="82"/>
      <c r="F7" s="82"/>
      <c r="G7" s="82"/>
      <c r="H7" s="82"/>
      <c r="I7" s="82"/>
    </row>
    <row r="8" spans="1:9" ht="14.25">
      <c r="A8" s="83" t="s">
        <v>156</v>
      </c>
      <c r="B8" s="84">
        <v>1.1</v>
      </c>
      <c r="C8" s="82">
        <v>0.102</v>
      </c>
      <c r="D8" s="82"/>
      <c r="E8" s="82">
        <v>0.21</v>
      </c>
      <c r="F8" s="82"/>
      <c r="G8" s="82"/>
      <c r="H8" s="82"/>
      <c r="I8" s="85"/>
    </row>
    <row r="9" spans="1:9" ht="14.25">
      <c r="A9" s="194" t="s">
        <v>90</v>
      </c>
      <c r="B9" s="194" t="s">
        <v>92</v>
      </c>
      <c r="C9" s="194" t="s">
        <v>95</v>
      </c>
      <c r="D9" s="194" t="s">
        <v>93</v>
      </c>
      <c r="E9" s="194" t="s">
        <v>94</v>
      </c>
      <c r="F9" s="194" t="s">
        <v>285</v>
      </c>
      <c r="G9" s="194" t="s">
        <v>282</v>
      </c>
      <c r="H9" s="194" t="s">
        <v>283</v>
      </c>
      <c r="I9" s="195" t="s">
        <v>284</v>
      </c>
    </row>
    <row r="10" spans="1:9" ht="15">
      <c r="A10" s="86" t="s">
        <v>158</v>
      </c>
      <c r="B10" s="87"/>
      <c r="C10" s="87"/>
      <c r="D10" s="87"/>
      <c r="E10" s="87"/>
      <c r="F10" s="87"/>
      <c r="G10" s="87"/>
      <c r="H10" s="87"/>
      <c r="I10" s="87"/>
    </row>
    <row r="11" spans="1:9" ht="14.25">
      <c r="A11" s="88" t="s">
        <v>294</v>
      </c>
      <c r="B11" s="81">
        <f>25*B8</f>
        <v>27.500000000000004</v>
      </c>
      <c r="C11" s="81">
        <f>+B11*$C$8</f>
        <v>2.805</v>
      </c>
      <c r="D11" s="81">
        <f>+C11+B11</f>
        <v>30.305000000000003</v>
      </c>
      <c r="E11" s="81">
        <f>+D11*$E$8</f>
        <v>6.364050000000001</v>
      </c>
      <c r="F11" s="81">
        <f>+E11+D11</f>
        <v>36.669050000000006</v>
      </c>
      <c r="G11" s="81">
        <f>+D19</f>
        <v>0.052075949367088606</v>
      </c>
      <c r="H11" s="249">
        <f>+'costo de prod unit.'!E13*25</f>
        <v>5.569986979166667</v>
      </c>
      <c r="I11" s="81">
        <f>(+H11*G11)+F11</f>
        <v>36.959112359902434</v>
      </c>
    </row>
    <row r="12" spans="1:9" ht="14.25">
      <c r="A12" s="42" t="s">
        <v>154</v>
      </c>
      <c r="B12" s="81">
        <f>+B8</f>
        <v>1.1</v>
      </c>
      <c r="C12" s="81">
        <f>+B12*$C$8</f>
        <v>0.11220000000000001</v>
      </c>
      <c r="D12" s="81">
        <f>+C12+B12</f>
        <v>1.2122000000000002</v>
      </c>
      <c r="E12" s="81">
        <f>+D12*$E$8</f>
        <v>0.254562</v>
      </c>
      <c r="F12" s="81">
        <f>+E12+D12</f>
        <v>1.4667620000000001</v>
      </c>
      <c r="G12" s="81">
        <f>+D19</f>
        <v>0.052075949367088606</v>
      </c>
      <c r="H12" s="249">
        <f>+'costo de prod unit.'!E13*1</f>
        <v>0.22279947916666668</v>
      </c>
      <c r="I12" s="81">
        <f>(+H12*G12)+F12</f>
        <v>1.4783644943960972</v>
      </c>
    </row>
    <row r="13" spans="1:9" ht="15">
      <c r="A13" s="86" t="s">
        <v>107</v>
      </c>
      <c r="B13" s="81"/>
      <c r="C13" s="81"/>
      <c r="D13" s="81"/>
      <c r="E13" s="81"/>
      <c r="F13" s="81"/>
      <c r="G13" s="81"/>
      <c r="H13" s="249"/>
      <c r="I13" s="81"/>
    </row>
    <row r="14" spans="1:9" ht="14.25">
      <c r="A14" s="88" t="s">
        <v>157</v>
      </c>
      <c r="B14" s="81">
        <f>50*0.75</f>
        <v>37.5</v>
      </c>
      <c r="C14" s="81">
        <f>+B14*$C$8</f>
        <v>3.8249999999999997</v>
      </c>
      <c r="D14" s="81">
        <f>+C14+B14</f>
        <v>41.325</v>
      </c>
      <c r="E14" s="81">
        <f>+D14*$E$8</f>
        <v>8.67825</v>
      </c>
      <c r="F14" s="81">
        <f>+E14+D14</f>
        <v>50.00325</v>
      </c>
      <c r="G14" s="81">
        <f>+D19</f>
        <v>0.052075949367088606</v>
      </c>
      <c r="H14" s="249">
        <f>+'costo de prod unit.'!E13*50</f>
        <v>11.139973958333334</v>
      </c>
      <c r="I14" s="81">
        <f>(+H14*G14)+F14</f>
        <v>50.58337471980485</v>
      </c>
    </row>
    <row r="15" ht="12.75">
      <c r="A15" s="254" t="s">
        <v>286</v>
      </c>
    </row>
    <row r="16" ht="12.75">
      <c r="D16" s="66"/>
    </row>
    <row r="18" spans="1:4" ht="15.75">
      <c r="A18" s="246" t="s">
        <v>119</v>
      </c>
      <c r="B18" s="159" t="s">
        <v>281</v>
      </c>
      <c r="C18" s="159" t="s">
        <v>94</v>
      </c>
      <c r="D18" s="159" t="s">
        <v>96</v>
      </c>
    </row>
    <row r="19" spans="1:4" ht="12.75">
      <c r="A19" s="96" t="s">
        <v>280</v>
      </c>
      <c r="B19" s="248">
        <f>0.17/3.95</f>
        <v>0.043037974683544304</v>
      </c>
      <c r="C19" s="248">
        <f>+B19*0.21</f>
        <v>0.009037974683544303</v>
      </c>
      <c r="D19" s="248">
        <f>+C19+B19</f>
        <v>0.052075949367088606</v>
      </c>
    </row>
    <row r="21" spans="1:2" ht="12.75">
      <c r="A21" s="247" t="s">
        <v>278</v>
      </c>
      <c r="B21" s="247"/>
    </row>
    <row r="22" spans="1:2" ht="12.75">
      <c r="A22" s="247" t="s">
        <v>279</v>
      </c>
      <c r="B22" s="247"/>
    </row>
    <row r="23" spans="1:2" ht="12.75">
      <c r="A23" s="255" t="s">
        <v>289</v>
      </c>
      <c r="B23" s="247"/>
    </row>
    <row r="24" spans="1:2" ht="38.25">
      <c r="A24" s="256" t="s">
        <v>290</v>
      </c>
      <c r="B24" s="247"/>
    </row>
    <row r="25" spans="1:2" ht="12.75">
      <c r="A25" s="257" t="s">
        <v>291</v>
      </c>
      <c r="B25" s="247"/>
    </row>
    <row r="26" ht="12.75">
      <c r="A26" s="247" t="s">
        <v>292</v>
      </c>
    </row>
  </sheetData>
  <printOptions/>
  <pageMargins left="0.75" right="0.75" top="1" bottom="1" header="0" footer="0"/>
  <pageSetup fitToHeight="1" fitToWidth="1" horizontalDpi="300" verticalDpi="300" orientation="landscape" paperSize="9" scale="69" r:id="rId2"/>
  <drawing r:id="rId1"/>
</worksheet>
</file>

<file path=xl/worksheets/sheet6.xml><?xml version="1.0" encoding="utf-8"?>
<worksheet xmlns="http://schemas.openxmlformats.org/spreadsheetml/2006/main" xmlns:r="http://schemas.openxmlformats.org/officeDocument/2006/relationships">
  <sheetPr>
    <tabColor indexed="51"/>
    <pageSetUpPr fitToPage="1"/>
  </sheetPr>
  <dimension ref="A5:K21"/>
  <sheetViews>
    <sheetView workbookViewId="0" topLeftCell="D1">
      <selection activeCell="A38" sqref="A1:J38"/>
    </sheetView>
  </sheetViews>
  <sheetFormatPr defaultColWidth="11.421875" defaultRowHeight="12.75"/>
  <cols>
    <col min="1" max="1" width="8.28125" style="54" bestFit="1" customWidth="1"/>
    <col min="2" max="2" width="49.7109375" style="54" bestFit="1" customWidth="1"/>
    <col min="3" max="4" width="14.7109375" style="54" bestFit="1" customWidth="1"/>
    <col min="5" max="10" width="14.7109375" style="42" bestFit="1" customWidth="1"/>
    <col min="11" max="16384" width="11.421875" style="42" customWidth="1"/>
  </cols>
  <sheetData>
    <row r="5" spans="1:11" s="90" customFormat="1" ht="12.75">
      <c r="A5" s="42"/>
      <c r="B5" s="132" t="s">
        <v>159</v>
      </c>
      <c r="C5" s="42"/>
      <c r="D5" s="42"/>
      <c r="E5" s="42"/>
      <c r="F5" s="42"/>
      <c r="G5" s="42"/>
      <c r="H5" s="42"/>
      <c r="I5" s="42"/>
      <c r="J5" s="42"/>
      <c r="K5" s="42"/>
    </row>
    <row r="6" spans="1:4" ht="12.75">
      <c r="A6" s="42"/>
      <c r="B6" s="91" t="s">
        <v>109</v>
      </c>
      <c r="C6" s="42"/>
      <c r="D6" s="42"/>
    </row>
    <row r="7" spans="1:4" ht="12.75">
      <c r="A7" s="42"/>
      <c r="B7" s="92" t="s">
        <v>108</v>
      </c>
      <c r="C7" s="320">
        <f>288*365</f>
        <v>105120</v>
      </c>
      <c r="D7" s="11" t="s">
        <v>153</v>
      </c>
    </row>
    <row r="8" spans="1:4" ht="12.75">
      <c r="A8" s="42"/>
      <c r="B8" s="92" t="s">
        <v>110</v>
      </c>
      <c r="C8" s="320">
        <v>0.1</v>
      </c>
      <c r="D8" s="11"/>
    </row>
    <row r="9" spans="1:5" ht="12.75">
      <c r="A9" s="42"/>
      <c r="B9" s="92" t="s">
        <v>111</v>
      </c>
      <c r="C9" s="320">
        <f>+(-(C7*C8)+C7)</f>
        <v>94608</v>
      </c>
      <c r="D9" s="11" t="s">
        <v>153</v>
      </c>
      <c r="E9" s="94"/>
    </row>
    <row r="10" spans="1:5" ht="12.75">
      <c r="A10" s="42"/>
      <c r="B10" s="95" t="s">
        <v>112</v>
      </c>
      <c r="C10" s="320">
        <f>+C9*90%</f>
        <v>85147.2</v>
      </c>
      <c r="D10" s="11" t="s">
        <v>287</v>
      </c>
      <c r="E10" s="94"/>
    </row>
    <row r="11" spans="1:5" ht="12.75">
      <c r="A11" s="42"/>
      <c r="B11" s="95" t="s">
        <v>333</v>
      </c>
      <c r="C11" s="320">
        <f>C10/25</f>
        <v>3405.888</v>
      </c>
      <c r="D11" s="11" t="s">
        <v>334</v>
      </c>
      <c r="E11" s="94"/>
    </row>
    <row r="12" spans="1:4" ht="12.75">
      <c r="A12" s="42"/>
      <c r="B12" s="95" t="s">
        <v>115</v>
      </c>
      <c r="C12" s="320">
        <f>+C9*10%</f>
        <v>9460.800000000001</v>
      </c>
      <c r="D12" s="11" t="s">
        <v>153</v>
      </c>
    </row>
    <row r="13" spans="1:4" ht="12.75">
      <c r="A13" s="42"/>
      <c r="B13" s="95" t="s">
        <v>335</v>
      </c>
      <c r="C13" s="320">
        <f>C12/50</f>
        <v>189.216</v>
      </c>
      <c r="D13" s="11" t="s">
        <v>336</v>
      </c>
    </row>
    <row r="14" spans="1:4" ht="12.75">
      <c r="A14" s="42"/>
      <c r="B14" s="105" t="s">
        <v>288</v>
      </c>
      <c r="C14" s="320">
        <f>+C9*'costo de prod unit.'!E13</f>
        <v>21078.613125</v>
      </c>
      <c r="D14" s="11" t="s">
        <v>262</v>
      </c>
    </row>
    <row r="15" spans="1:4" ht="12.75">
      <c r="A15" s="42"/>
      <c r="B15" s="95" t="s">
        <v>320</v>
      </c>
      <c r="C15" s="93">
        <v>0.1</v>
      </c>
      <c r="D15" s="11"/>
    </row>
    <row r="16" spans="1:10" ht="12.75">
      <c r="A16" s="168" t="s">
        <v>116</v>
      </c>
      <c r="B16" s="159" t="s">
        <v>90</v>
      </c>
      <c r="C16" s="168">
        <v>2011</v>
      </c>
      <c r="D16" s="196">
        <v>2012</v>
      </c>
      <c r="E16" s="168">
        <v>2013</v>
      </c>
      <c r="F16" s="168">
        <v>2014</v>
      </c>
      <c r="G16" s="168">
        <v>2015</v>
      </c>
      <c r="H16" s="196">
        <v>2016</v>
      </c>
      <c r="I16" s="168">
        <v>2017</v>
      </c>
      <c r="J16" s="168">
        <v>2018</v>
      </c>
    </row>
    <row r="17" spans="1:10" ht="12.75">
      <c r="A17" s="96" t="s">
        <v>113</v>
      </c>
      <c r="B17" s="88" t="s">
        <v>155</v>
      </c>
      <c r="C17" s="97">
        <f>C11*'Definicion Precio Unitario'!I11</f>
        <v>125878.59727724337</v>
      </c>
      <c r="D17" s="97">
        <f aca="true" t="shared" si="0" ref="D17:J18">+(C17*$C$15)+C17</f>
        <v>138466.45700496773</v>
      </c>
      <c r="E17" s="97">
        <f t="shared" si="0"/>
        <v>152313.1027054645</v>
      </c>
      <c r="F17" s="97">
        <f t="shared" si="0"/>
        <v>167544.41297601094</v>
      </c>
      <c r="G17" s="97">
        <f t="shared" si="0"/>
        <v>184298.85427361203</v>
      </c>
      <c r="H17" s="97">
        <f t="shared" si="0"/>
        <v>202728.73970097324</v>
      </c>
      <c r="I17" s="97">
        <f t="shared" si="0"/>
        <v>223001.61367107055</v>
      </c>
      <c r="J17" s="97">
        <f t="shared" si="0"/>
        <v>245301.7750381776</v>
      </c>
    </row>
    <row r="18" spans="1:10" ht="12.75">
      <c r="A18" s="96" t="s">
        <v>114</v>
      </c>
      <c r="B18" s="98" t="s">
        <v>161</v>
      </c>
      <c r="C18" s="97">
        <f>C13*'Definicion Precio Unitario'!I14</f>
        <v>9571.183830982594</v>
      </c>
      <c r="D18" s="97">
        <f t="shared" si="0"/>
        <v>10528.302214080853</v>
      </c>
      <c r="E18" s="97">
        <f t="shared" si="0"/>
        <v>11581.132435488938</v>
      </c>
      <c r="F18" s="97">
        <f t="shared" si="0"/>
        <v>12739.245679037833</v>
      </c>
      <c r="G18" s="97">
        <f t="shared" si="0"/>
        <v>14013.170246941616</v>
      </c>
      <c r="H18" s="97">
        <f t="shared" si="0"/>
        <v>15414.487271635779</v>
      </c>
      <c r="I18" s="97">
        <f t="shared" si="0"/>
        <v>16955.935998799356</v>
      </c>
      <c r="J18" s="97">
        <f t="shared" si="0"/>
        <v>18651.52959867929</v>
      </c>
    </row>
    <row r="19" spans="1:10" ht="12.75">
      <c r="A19" s="164"/>
      <c r="B19" s="183" t="s">
        <v>117</v>
      </c>
      <c r="C19" s="167">
        <f aca="true" t="shared" si="1" ref="C19:J19">SUM(C17:C18)</f>
        <v>135449.78110822596</v>
      </c>
      <c r="D19" s="167">
        <f t="shared" si="1"/>
        <v>148994.75921904857</v>
      </c>
      <c r="E19" s="167">
        <f t="shared" si="1"/>
        <v>163894.23514095345</v>
      </c>
      <c r="F19" s="167">
        <f t="shared" si="1"/>
        <v>180283.65865504876</v>
      </c>
      <c r="G19" s="167">
        <f t="shared" si="1"/>
        <v>198312.02452055365</v>
      </c>
      <c r="H19" s="167">
        <f t="shared" si="1"/>
        <v>218143.226972609</v>
      </c>
      <c r="I19" s="167">
        <f t="shared" si="1"/>
        <v>239957.5496698699</v>
      </c>
      <c r="J19" s="167">
        <f t="shared" si="1"/>
        <v>263953.3046368569</v>
      </c>
    </row>
    <row r="20" spans="3:4" ht="12.75">
      <c r="C20" s="42"/>
      <c r="D20" s="42"/>
    </row>
    <row r="21" spans="3:4" ht="12.75">
      <c r="C21" s="94"/>
      <c r="D21" s="42"/>
    </row>
  </sheetData>
  <printOptions/>
  <pageMargins left="0.75" right="0.75" top="1" bottom="1" header="0" footer="0"/>
  <pageSetup fitToHeight="1" fitToWidth="1" horizontalDpi="600" verticalDpi="600" orientation="landscape" paperSize="9" scale="73" r:id="rId2"/>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5:F19"/>
  <sheetViews>
    <sheetView workbookViewId="0" topLeftCell="A1">
      <selection activeCell="G24" sqref="A1:G24"/>
    </sheetView>
  </sheetViews>
  <sheetFormatPr defaultColWidth="11.421875" defaultRowHeight="12.75"/>
  <cols>
    <col min="1" max="1" width="33.8515625" style="0" customWidth="1"/>
    <col min="3" max="3" width="17.7109375" style="0" bestFit="1" customWidth="1"/>
    <col min="4" max="4" width="15.57421875" style="0" bestFit="1" customWidth="1"/>
    <col min="5" max="5" width="24.8515625" style="0" bestFit="1" customWidth="1"/>
    <col min="6" max="6" width="12.57421875" style="0" bestFit="1" customWidth="1"/>
  </cols>
  <sheetData>
    <row r="5" ht="12.75">
      <c r="A5" s="189" t="s">
        <v>272</v>
      </c>
    </row>
    <row r="6" ht="12.75">
      <c r="C6" s="168" t="s">
        <v>120</v>
      </c>
    </row>
    <row r="7" spans="1:6" ht="12.75">
      <c r="A7" s="168" t="s">
        <v>163</v>
      </c>
      <c r="B7" s="168" t="s">
        <v>164</v>
      </c>
      <c r="C7" s="168" t="s">
        <v>295</v>
      </c>
      <c r="D7" s="168" t="s">
        <v>165</v>
      </c>
      <c r="E7" s="168" t="s">
        <v>293</v>
      </c>
      <c r="F7" s="168" t="s">
        <v>166</v>
      </c>
    </row>
    <row r="8" spans="1:6" ht="12.75">
      <c r="A8" s="197" t="s">
        <v>167</v>
      </c>
      <c r="B8" s="2">
        <v>1</v>
      </c>
      <c r="C8" s="99">
        <v>596</v>
      </c>
      <c r="D8" s="99">
        <f aca="true" t="shared" si="0" ref="D8:D15">+C8*40.61%</f>
        <v>242.03560000000002</v>
      </c>
      <c r="E8" s="99">
        <f aca="true" t="shared" si="1" ref="E8:E15">(+C8*1.5%)+(C8*2%)</f>
        <v>20.86</v>
      </c>
      <c r="F8" s="99">
        <f>+E8+D8+C8</f>
        <v>858.8956000000001</v>
      </c>
    </row>
    <row r="9" spans="1:6" ht="12.75">
      <c r="A9" s="197" t="s">
        <v>296</v>
      </c>
      <c r="B9" s="2">
        <v>1</v>
      </c>
      <c r="C9" s="99">
        <f>2506.48/3.95</f>
        <v>634.5518987341771</v>
      </c>
      <c r="D9" s="99">
        <f t="shared" si="0"/>
        <v>257.69152607594935</v>
      </c>
      <c r="E9" s="99">
        <f t="shared" si="1"/>
        <v>22.209316455696197</v>
      </c>
      <c r="F9" s="99">
        <f aca="true" t="shared" si="2" ref="F9:F15">+E9+D9+C9</f>
        <v>914.4527412658226</v>
      </c>
    </row>
    <row r="10" spans="1:6" ht="12.75">
      <c r="A10" s="197" t="s">
        <v>297</v>
      </c>
      <c r="B10" s="2">
        <v>1</v>
      </c>
      <c r="C10" s="99">
        <v>634.55</v>
      </c>
      <c r="D10" s="99">
        <f t="shared" si="0"/>
        <v>257.69075499999997</v>
      </c>
      <c r="E10" s="99">
        <f t="shared" si="1"/>
        <v>22.209249999999997</v>
      </c>
      <c r="F10" s="99">
        <f t="shared" si="2"/>
        <v>914.4500049999999</v>
      </c>
    </row>
    <row r="11" spans="1:6" ht="12.75">
      <c r="A11" s="197" t="s">
        <v>168</v>
      </c>
      <c r="B11" s="2">
        <v>1</v>
      </c>
      <c r="C11" s="99">
        <f>1293.65/3.95</f>
        <v>327.50632911392404</v>
      </c>
      <c r="D11" s="99">
        <f t="shared" si="0"/>
        <v>133.00032025316455</v>
      </c>
      <c r="E11" s="99">
        <f t="shared" si="1"/>
        <v>11.46272151898734</v>
      </c>
      <c r="F11" s="99">
        <f t="shared" si="2"/>
        <v>471.9693708860759</v>
      </c>
    </row>
    <row r="12" spans="1:6" ht="12.75">
      <c r="A12" s="197" t="s">
        <v>169</v>
      </c>
      <c r="B12" s="2">
        <v>1</v>
      </c>
      <c r="C12" s="99">
        <f>1378.5/3.95</f>
        <v>348.98734177215186</v>
      </c>
      <c r="D12" s="99">
        <f t="shared" si="0"/>
        <v>141.72375949367088</v>
      </c>
      <c r="E12" s="99">
        <f t="shared" si="1"/>
        <v>12.214556962025316</v>
      </c>
      <c r="F12" s="99">
        <f t="shared" si="2"/>
        <v>502.9256582278481</v>
      </c>
    </row>
    <row r="13" spans="1:6" ht="12.75">
      <c r="A13" s="197" t="s">
        <v>170</v>
      </c>
      <c r="B13" s="2">
        <v>1</v>
      </c>
      <c r="C13" s="99">
        <f>491*B13</f>
        <v>491</v>
      </c>
      <c r="D13" s="99">
        <f t="shared" si="0"/>
        <v>199.3951</v>
      </c>
      <c r="E13" s="99">
        <f t="shared" si="1"/>
        <v>17.185</v>
      </c>
      <c r="F13" s="99">
        <f t="shared" si="2"/>
        <v>707.5801</v>
      </c>
    </row>
    <row r="14" spans="1:6" ht="12.75">
      <c r="A14" s="197" t="s">
        <v>171</v>
      </c>
      <c r="B14" s="2">
        <v>2</v>
      </c>
      <c r="C14" s="99">
        <f>348.25*B14</f>
        <v>696.5</v>
      </c>
      <c r="D14" s="99">
        <f t="shared" si="0"/>
        <v>282.84865</v>
      </c>
      <c r="E14" s="99">
        <f t="shared" si="1"/>
        <v>24.377499999999998</v>
      </c>
      <c r="F14" s="99">
        <f t="shared" si="2"/>
        <v>1003.72615</v>
      </c>
    </row>
    <row r="15" spans="1:6" ht="12.75">
      <c r="A15" s="197" t="s">
        <v>172</v>
      </c>
      <c r="B15" s="2">
        <v>2</v>
      </c>
      <c r="C15" s="99">
        <f>+C14</f>
        <v>696.5</v>
      </c>
      <c r="D15" s="99">
        <f t="shared" si="0"/>
        <v>282.84865</v>
      </c>
      <c r="E15" s="99">
        <f t="shared" si="1"/>
        <v>24.377499999999998</v>
      </c>
      <c r="F15" s="99">
        <f t="shared" si="2"/>
        <v>1003.72615</v>
      </c>
    </row>
    <row r="16" spans="1:6" ht="12.75">
      <c r="A16" s="183" t="s">
        <v>173</v>
      </c>
      <c r="B16" s="133">
        <f>SUM(B8:B15)</f>
        <v>10</v>
      </c>
      <c r="C16" s="198">
        <f>SUM(C8:C15)</f>
        <v>4425.595569620253</v>
      </c>
      <c r="D16" s="198">
        <f>SUM(D8:D15)</f>
        <v>1797.2343608227848</v>
      </c>
      <c r="E16" s="198">
        <f>SUM(E8:E15)</f>
        <v>154.89584493670884</v>
      </c>
      <c r="F16" s="198">
        <f>SUM(F8:F15)</f>
        <v>6377.725775379748</v>
      </c>
    </row>
    <row r="19" ht="12.75">
      <c r="B19" s="17"/>
    </row>
  </sheetData>
  <printOptions/>
  <pageMargins left="0.75" right="0.75" top="1" bottom="1" header="0" footer="0"/>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51"/>
  </sheetPr>
  <dimension ref="A5:F24"/>
  <sheetViews>
    <sheetView workbookViewId="0" topLeftCell="A1">
      <selection activeCell="F27" sqref="A1:F27"/>
    </sheetView>
  </sheetViews>
  <sheetFormatPr defaultColWidth="11.421875" defaultRowHeight="12.75"/>
  <cols>
    <col min="1" max="1" width="23.421875" style="0" bestFit="1" customWidth="1"/>
    <col min="3" max="3" width="14.7109375" style="0" bestFit="1" customWidth="1"/>
    <col min="4" max="4" width="24.28125" style="0" bestFit="1" customWidth="1"/>
    <col min="5" max="5" width="27.00390625" style="0" bestFit="1" customWidth="1"/>
    <col min="6" max="6" width="27.57421875" style="0" bestFit="1" customWidth="1"/>
  </cols>
  <sheetData>
    <row r="5" spans="1:2" ht="12.75">
      <c r="A5" s="132" t="s">
        <v>21</v>
      </c>
      <c r="B5" s="132"/>
    </row>
    <row r="7" spans="1:6" ht="12.75">
      <c r="A7" s="134"/>
      <c r="B7" s="168" t="s">
        <v>7</v>
      </c>
      <c r="C7" s="196" t="s">
        <v>162</v>
      </c>
      <c r="D7" s="168" t="s">
        <v>8</v>
      </c>
      <c r="E7" s="168" t="s">
        <v>277</v>
      </c>
      <c r="F7" s="168" t="s">
        <v>9</v>
      </c>
    </row>
    <row r="8" spans="1:6" ht="12.75">
      <c r="A8" s="168" t="s">
        <v>10</v>
      </c>
      <c r="B8" s="289">
        <f>'[1]costos inv, cont y almac'!$F$21</f>
        <v>348.38</v>
      </c>
      <c r="C8" s="16">
        <v>50</v>
      </c>
      <c r="D8" s="289">
        <f aca="true" t="shared" si="0" ref="D8:D19">B8/C8</f>
        <v>6.9676</v>
      </c>
      <c r="E8" s="289">
        <f aca="true" t="shared" si="1" ref="E8:E19">30*D8/365</f>
        <v>0.5726794520547945</v>
      </c>
      <c r="F8" s="296">
        <f>D8*42</f>
        <v>292.6392</v>
      </c>
    </row>
    <row r="9" spans="1:6" ht="12.75">
      <c r="A9" s="168" t="s">
        <v>11</v>
      </c>
      <c r="B9" s="289">
        <f>'[1]costos inv, cont y almac'!$F$9</f>
        <v>1305.72</v>
      </c>
      <c r="C9" s="16">
        <v>20</v>
      </c>
      <c r="D9" s="289">
        <f t="shared" si="0"/>
        <v>65.286</v>
      </c>
      <c r="E9" s="289">
        <f t="shared" si="1"/>
        <v>5.365972602739726</v>
      </c>
      <c r="F9" s="296">
        <f>D9*12</f>
        <v>783.432</v>
      </c>
    </row>
    <row r="10" spans="1:6" ht="12.75">
      <c r="A10" s="168" t="s">
        <v>12</v>
      </c>
      <c r="B10" s="289">
        <f>'[1]costos inv, cont y almac'!$F$110</f>
        <v>185.808</v>
      </c>
      <c r="C10" s="16">
        <v>10</v>
      </c>
      <c r="D10" s="289">
        <f t="shared" si="0"/>
        <v>18.5808</v>
      </c>
      <c r="E10" s="289">
        <f t="shared" si="1"/>
        <v>1.5271890410958904</v>
      </c>
      <c r="F10" s="296">
        <f>D10*2</f>
        <v>37.1616</v>
      </c>
    </row>
    <row r="11" spans="1:6" ht="12.75">
      <c r="A11" s="168" t="s">
        <v>13</v>
      </c>
      <c r="B11" s="289">
        <f>'[1]costos inv, cont y almac'!$F$90</f>
        <v>4319.82</v>
      </c>
      <c r="C11" s="16">
        <v>20</v>
      </c>
      <c r="D11" s="289">
        <f t="shared" si="0"/>
        <v>215.99099999999999</v>
      </c>
      <c r="E11" s="289">
        <f t="shared" si="1"/>
        <v>17.75268493150685</v>
      </c>
      <c r="F11" s="296">
        <f>D11*12</f>
        <v>2591.892</v>
      </c>
    </row>
    <row r="12" spans="1:6" ht="12.75">
      <c r="A12" s="168" t="s">
        <v>14</v>
      </c>
      <c r="B12" s="289">
        <v>975</v>
      </c>
      <c r="C12" s="16">
        <v>10</v>
      </c>
      <c r="D12" s="289">
        <f t="shared" si="0"/>
        <v>97.5</v>
      </c>
      <c r="E12" s="289">
        <f t="shared" si="1"/>
        <v>8.013698630136986</v>
      </c>
      <c r="F12" s="296">
        <f aca="true" t="shared" si="2" ref="F12:F19">D12*2</f>
        <v>195</v>
      </c>
    </row>
    <row r="13" spans="1:6" ht="12.75">
      <c r="A13" s="168" t="s">
        <v>15</v>
      </c>
      <c r="B13" s="289">
        <f>'[1]costos del sist de drenaje'!$D$14</f>
        <v>1801.6040000000003</v>
      </c>
      <c r="C13" s="16">
        <v>10</v>
      </c>
      <c r="D13" s="289">
        <f t="shared" si="0"/>
        <v>180.16040000000004</v>
      </c>
      <c r="E13" s="289">
        <f t="shared" si="1"/>
        <v>14.807704109589043</v>
      </c>
      <c r="F13" s="296">
        <f t="shared" si="2"/>
        <v>360.3208000000001</v>
      </c>
    </row>
    <row r="14" spans="1:6" ht="12.75">
      <c r="A14" s="168" t="s">
        <v>374</v>
      </c>
      <c r="B14" s="289">
        <f>+'Estructura de Inversión'!G17</f>
        <v>13310</v>
      </c>
      <c r="C14" s="16">
        <v>15</v>
      </c>
      <c r="D14" s="289">
        <f t="shared" si="0"/>
        <v>887.3333333333334</v>
      </c>
      <c r="E14" s="289">
        <f t="shared" si="1"/>
        <v>72.93150684931507</v>
      </c>
      <c r="F14" s="296">
        <f>+D14*7</f>
        <v>6211.333333333334</v>
      </c>
    </row>
    <row r="15" spans="1:6" ht="12.75">
      <c r="A15" s="168" t="s">
        <v>16</v>
      </c>
      <c r="B15" s="289">
        <f>+'[1]Sist de Calefacción'!$E$8</f>
        <v>10985.26582278481</v>
      </c>
      <c r="C15" s="16">
        <v>10</v>
      </c>
      <c r="D15" s="289">
        <f t="shared" si="0"/>
        <v>1098.5265822784809</v>
      </c>
      <c r="E15" s="289">
        <f t="shared" si="1"/>
        <v>90.28985607768335</v>
      </c>
      <c r="F15" s="296">
        <f t="shared" si="2"/>
        <v>2197.0531645569617</v>
      </c>
    </row>
    <row r="16" spans="1:6" ht="12.75">
      <c r="A16" s="168" t="s">
        <v>17</v>
      </c>
      <c r="B16" s="289">
        <f>'[1]costo constr fosa'!$E$7</f>
        <v>409.79999999999995</v>
      </c>
      <c r="C16" s="16">
        <v>10</v>
      </c>
      <c r="D16" s="289">
        <f t="shared" si="0"/>
        <v>40.98</v>
      </c>
      <c r="E16" s="289">
        <f t="shared" si="1"/>
        <v>3.3682191780821915</v>
      </c>
      <c r="F16" s="296">
        <f t="shared" si="2"/>
        <v>81.96</v>
      </c>
    </row>
    <row r="17" spans="1:6" ht="12.75">
      <c r="A17" s="168" t="s">
        <v>18</v>
      </c>
      <c r="B17" s="289">
        <v>12000</v>
      </c>
      <c r="C17" s="16">
        <v>8</v>
      </c>
      <c r="D17" s="289">
        <f t="shared" si="0"/>
        <v>1500</v>
      </c>
      <c r="E17" s="289">
        <f t="shared" si="1"/>
        <v>123.28767123287672</v>
      </c>
      <c r="F17" s="296">
        <f>+D17*0</f>
        <v>0</v>
      </c>
    </row>
    <row r="18" spans="1:6" ht="12.75">
      <c r="A18" s="168" t="s">
        <v>19</v>
      </c>
      <c r="B18" s="289">
        <v>1288</v>
      </c>
      <c r="C18" s="16">
        <v>10</v>
      </c>
      <c r="D18" s="289">
        <f t="shared" si="0"/>
        <v>128.8</v>
      </c>
      <c r="E18" s="289">
        <f t="shared" si="1"/>
        <v>10.586301369863016</v>
      </c>
      <c r="F18" s="296">
        <f t="shared" si="2"/>
        <v>257.6</v>
      </c>
    </row>
    <row r="19" spans="1:6" ht="12.75">
      <c r="A19" s="168" t="s">
        <v>20</v>
      </c>
      <c r="B19" s="289">
        <f>'[1]costo constr bodega y baño'!$E$16</f>
        <v>1031.0500000000002</v>
      </c>
      <c r="C19" s="16">
        <v>20</v>
      </c>
      <c r="D19" s="289">
        <f t="shared" si="0"/>
        <v>51.55250000000001</v>
      </c>
      <c r="E19" s="289">
        <f t="shared" si="1"/>
        <v>4.237191780821918</v>
      </c>
      <c r="F19" s="296">
        <f t="shared" si="2"/>
        <v>103.10500000000002</v>
      </c>
    </row>
    <row r="20" spans="2:6" ht="12.75">
      <c r="B20" s="289">
        <f>SUM(B8:B19)</f>
        <v>47960.447822784816</v>
      </c>
      <c r="D20" s="297">
        <f>SUM(D8:D19)</f>
        <v>4291.678215611814</v>
      </c>
      <c r="E20" s="297">
        <f>SUM(E8:E19)</f>
        <v>352.7406752557656</v>
      </c>
      <c r="F20" s="298">
        <f>SUM(F8:F19)</f>
        <v>13111.497097890295</v>
      </c>
    </row>
    <row r="24" spans="4:5" ht="12.75">
      <c r="D24" s="17"/>
      <c r="E24" s="17"/>
    </row>
  </sheetData>
  <printOptions/>
  <pageMargins left="0.75" right="0.75" top="1.44" bottom="1" header="0" footer="0"/>
  <pageSetup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55"/>
    <pageSetUpPr fitToPage="1"/>
  </sheetPr>
  <dimension ref="A5:O42"/>
  <sheetViews>
    <sheetView workbookViewId="0" topLeftCell="A1">
      <selection activeCell="O30" sqref="A1:O30"/>
    </sheetView>
  </sheetViews>
  <sheetFormatPr defaultColWidth="11.421875" defaultRowHeight="12.75"/>
  <cols>
    <col min="1" max="1" width="23.421875" style="0" bestFit="1" customWidth="1"/>
    <col min="3" max="3" width="14.7109375" style="0" bestFit="1" customWidth="1"/>
    <col min="4" max="4" width="24.28125" style="0" hidden="1" customWidth="1"/>
    <col min="5" max="5" width="27.00390625" style="0" hidden="1" customWidth="1"/>
    <col min="6" max="6" width="27.57421875" style="0" hidden="1" customWidth="1"/>
    <col min="7" max="7" width="16.28125" style="0" bestFit="1" customWidth="1"/>
  </cols>
  <sheetData>
    <row r="5" spans="1:2" ht="12.75">
      <c r="A5" s="132" t="s">
        <v>344</v>
      </c>
      <c r="B5" s="132"/>
    </row>
    <row r="9" spans="1:15" ht="12.75">
      <c r="A9" s="159" t="s">
        <v>195</v>
      </c>
      <c r="B9" s="159" t="s">
        <v>196</v>
      </c>
      <c r="C9" s="159" t="s">
        <v>197</v>
      </c>
      <c r="D9" s="159" t="s">
        <v>198</v>
      </c>
      <c r="E9" s="159" t="s">
        <v>96</v>
      </c>
      <c r="F9" s="159" t="s">
        <v>94</v>
      </c>
      <c r="G9" s="159" t="s">
        <v>226</v>
      </c>
      <c r="H9" s="159" t="s">
        <v>355</v>
      </c>
      <c r="I9" s="159" t="s">
        <v>356</v>
      </c>
      <c r="J9" s="159" t="s">
        <v>357</v>
      </c>
      <c r="K9" s="159" t="s">
        <v>358</v>
      </c>
      <c r="L9" s="159" t="s">
        <v>359</v>
      </c>
      <c r="M9" s="159" t="s">
        <v>360</v>
      </c>
      <c r="N9" s="159" t="s">
        <v>361</v>
      </c>
      <c r="O9" s="159" t="s">
        <v>362</v>
      </c>
    </row>
    <row r="10" spans="1:15" ht="12.75">
      <c r="A10" s="95" t="s">
        <v>199</v>
      </c>
      <c r="B10" s="2"/>
      <c r="C10" s="103"/>
      <c r="D10" s="103"/>
      <c r="E10" s="103"/>
      <c r="F10" s="103"/>
      <c r="G10" s="2"/>
      <c r="H10" s="2"/>
      <c r="I10" s="2"/>
      <c r="J10" s="2"/>
      <c r="K10" s="2"/>
      <c r="L10" s="2"/>
      <c r="M10" s="2"/>
      <c r="N10" s="2"/>
      <c r="O10" s="2"/>
    </row>
    <row r="11" spans="1:15" ht="12.75">
      <c r="A11" s="96" t="s">
        <v>200</v>
      </c>
      <c r="B11" s="2">
        <v>1</v>
      </c>
      <c r="C11" s="103" t="s">
        <v>201</v>
      </c>
      <c r="D11" s="217">
        <v>12000</v>
      </c>
      <c r="E11" s="217">
        <f aca="true" t="shared" si="0" ref="E11:E20">+D11*B11</f>
        <v>12000</v>
      </c>
      <c r="F11" s="217">
        <f aca="true" t="shared" si="1" ref="F11:F23">+E11*$F$6</f>
        <v>0</v>
      </c>
      <c r="G11" s="289">
        <f aca="true" t="shared" si="2" ref="G11:G28">+F11+E11</f>
        <v>12000</v>
      </c>
      <c r="H11" s="289"/>
      <c r="I11" s="289"/>
      <c r="J11" s="289"/>
      <c r="K11" s="289">
        <v>5000</v>
      </c>
      <c r="L11" s="289"/>
      <c r="M11" s="289"/>
      <c r="N11" s="289"/>
      <c r="O11" s="289"/>
    </row>
    <row r="12" spans="1:15" ht="12.75">
      <c r="A12" s="96" t="s">
        <v>202</v>
      </c>
      <c r="B12" s="2">
        <v>10</v>
      </c>
      <c r="C12" s="103" t="str">
        <f>+C11</f>
        <v>Unid.</v>
      </c>
      <c r="D12" s="217">
        <v>100</v>
      </c>
      <c r="E12" s="217">
        <f t="shared" si="0"/>
        <v>1000</v>
      </c>
      <c r="F12" s="217">
        <f t="shared" si="1"/>
        <v>0</v>
      </c>
      <c r="G12" s="289">
        <f t="shared" si="2"/>
        <v>1000</v>
      </c>
      <c r="H12" s="289"/>
      <c r="I12" s="289"/>
      <c r="J12" s="289"/>
      <c r="K12" s="289"/>
      <c r="L12" s="289"/>
      <c r="M12" s="289"/>
      <c r="N12" s="289"/>
      <c r="O12" s="289"/>
    </row>
    <row r="13" spans="1:15" ht="12.75">
      <c r="A13" s="96" t="s">
        <v>349</v>
      </c>
      <c r="B13" s="2">
        <v>30</v>
      </c>
      <c r="C13" s="103" t="str">
        <f>+C12</f>
        <v>Unid.</v>
      </c>
      <c r="D13" s="217">
        <v>2.5</v>
      </c>
      <c r="E13" s="217">
        <f t="shared" si="0"/>
        <v>75</v>
      </c>
      <c r="F13" s="217">
        <f t="shared" si="1"/>
        <v>0</v>
      </c>
      <c r="G13" s="289">
        <f t="shared" si="2"/>
        <v>75</v>
      </c>
      <c r="H13" s="289">
        <v>50</v>
      </c>
      <c r="I13" s="289">
        <v>50</v>
      </c>
      <c r="J13" s="289">
        <v>50</v>
      </c>
      <c r="K13" s="289">
        <v>50</v>
      </c>
      <c r="L13" s="289">
        <v>50</v>
      </c>
      <c r="M13" s="289">
        <v>50</v>
      </c>
      <c r="N13" s="289">
        <v>50</v>
      </c>
      <c r="O13" s="289">
        <v>50</v>
      </c>
    </row>
    <row r="14" spans="1:15" ht="12.75">
      <c r="A14" s="96" t="s">
        <v>350</v>
      </c>
      <c r="B14" s="2">
        <v>1</v>
      </c>
      <c r="C14" s="103" t="str">
        <f>+C13</f>
        <v>Unid.</v>
      </c>
      <c r="D14" s="218">
        <f>+'[1]costos inv, cont y almac'!$F$78</f>
        <v>6841.25</v>
      </c>
      <c r="E14" s="217">
        <f t="shared" si="0"/>
        <v>6841.25</v>
      </c>
      <c r="F14" s="217">
        <f t="shared" si="1"/>
        <v>0</v>
      </c>
      <c r="G14" s="289">
        <f t="shared" si="2"/>
        <v>6841.25</v>
      </c>
      <c r="H14" s="289"/>
      <c r="I14" s="289"/>
      <c r="J14" s="289"/>
      <c r="K14" s="289">
        <v>1000</v>
      </c>
      <c r="L14" s="289">
        <v>1000</v>
      </c>
      <c r="M14" s="289"/>
      <c r="N14" s="289"/>
      <c r="O14" s="289"/>
    </row>
    <row r="15" spans="1:15" ht="12.75">
      <c r="A15" s="219" t="s">
        <v>238</v>
      </c>
      <c r="B15" s="106">
        <v>13</v>
      </c>
      <c r="C15" s="107" t="s">
        <v>201</v>
      </c>
      <c r="D15" s="220">
        <v>407.4</v>
      </c>
      <c r="E15" s="217">
        <f t="shared" si="0"/>
        <v>5296.2</v>
      </c>
      <c r="F15" s="217">
        <f t="shared" si="1"/>
        <v>0</v>
      </c>
      <c r="G15" s="289">
        <f t="shared" si="2"/>
        <v>5296.2</v>
      </c>
      <c r="H15" s="289"/>
      <c r="I15" s="289"/>
      <c r="J15" s="289"/>
      <c r="K15" s="289"/>
      <c r="L15" s="289"/>
      <c r="M15" s="289">
        <v>1000</v>
      </c>
      <c r="N15" s="289">
        <v>1000</v>
      </c>
      <c r="O15" s="289"/>
    </row>
    <row r="16" spans="1:15" ht="12.75">
      <c r="A16" s="96" t="s">
        <v>239</v>
      </c>
      <c r="B16" s="2">
        <v>20</v>
      </c>
      <c r="C16" s="103" t="s">
        <v>201</v>
      </c>
      <c r="D16" s="218">
        <v>11.29</v>
      </c>
      <c r="E16" s="217">
        <f t="shared" si="0"/>
        <v>225.79999999999998</v>
      </c>
      <c r="F16" s="217">
        <f t="shared" si="1"/>
        <v>0</v>
      </c>
      <c r="G16" s="289">
        <f t="shared" si="2"/>
        <v>225.79999999999998</v>
      </c>
      <c r="H16" s="289">
        <v>20</v>
      </c>
      <c r="I16" s="289">
        <v>20</v>
      </c>
      <c r="J16" s="289">
        <v>20</v>
      </c>
      <c r="K16" s="289">
        <v>20</v>
      </c>
      <c r="L16" s="289">
        <v>20</v>
      </c>
      <c r="M16" s="289">
        <v>20</v>
      </c>
      <c r="N16" s="289">
        <v>20</v>
      </c>
      <c r="O16" s="289">
        <v>20</v>
      </c>
    </row>
    <row r="17" spans="1:15" ht="12.75">
      <c r="A17" s="96" t="s">
        <v>345</v>
      </c>
      <c r="B17" s="2">
        <v>1</v>
      </c>
      <c r="C17" s="103" t="s">
        <v>201</v>
      </c>
      <c r="D17" s="218">
        <f>+'[1]costos sist cond y rec de agua'!$D$23</f>
        <v>606.2700000000001</v>
      </c>
      <c r="E17" s="217">
        <f t="shared" si="0"/>
        <v>606.2700000000001</v>
      </c>
      <c r="F17" s="217">
        <f t="shared" si="1"/>
        <v>0</v>
      </c>
      <c r="G17" s="289">
        <f t="shared" si="2"/>
        <v>606.2700000000001</v>
      </c>
      <c r="H17" s="289"/>
      <c r="I17" s="289">
        <v>100</v>
      </c>
      <c r="J17" s="289"/>
      <c r="K17" s="289">
        <v>100</v>
      </c>
      <c r="L17" s="289"/>
      <c r="M17" s="289">
        <v>100</v>
      </c>
      <c r="N17" s="289"/>
      <c r="O17" s="289">
        <v>100</v>
      </c>
    </row>
    <row r="18" spans="1:15" ht="12.75">
      <c r="A18" s="96" t="s">
        <v>346</v>
      </c>
      <c r="B18" s="2">
        <v>1</v>
      </c>
      <c r="C18" s="103" t="s">
        <v>201</v>
      </c>
      <c r="D18" s="218">
        <f>+'[1]costos sist cond y rec de agua'!$A$42</f>
        <v>368.74</v>
      </c>
      <c r="E18" s="217">
        <f t="shared" si="0"/>
        <v>368.74</v>
      </c>
      <c r="F18" s="217">
        <f t="shared" si="1"/>
        <v>0</v>
      </c>
      <c r="G18" s="289">
        <f t="shared" si="2"/>
        <v>368.74</v>
      </c>
      <c r="H18" s="289"/>
      <c r="I18" s="289">
        <v>30</v>
      </c>
      <c r="J18" s="289"/>
      <c r="K18" s="289">
        <v>30</v>
      </c>
      <c r="L18" s="289"/>
      <c r="M18" s="289">
        <v>30</v>
      </c>
      <c r="N18" s="289"/>
      <c r="O18" s="289">
        <v>30</v>
      </c>
    </row>
    <row r="19" spans="1:15" ht="12.75">
      <c r="A19" s="96" t="s">
        <v>248</v>
      </c>
      <c r="B19" s="2">
        <v>1</v>
      </c>
      <c r="C19" s="103"/>
      <c r="D19" s="218">
        <v>3676</v>
      </c>
      <c r="E19" s="217">
        <f t="shared" si="0"/>
        <v>3676</v>
      </c>
      <c r="F19" s="217">
        <f t="shared" si="1"/>
        <v>0</v>
      </c>
      <c r="G19" s="289">
        <f t="shared" si="2"/>
        <v>3676</v>
      </c>
      <c r="H19" s="289"/>
      <c r="I19" s="289"/>
      <c r="J19" s="289"/>
      <c r="K19" s="289"/>
      <c r="L19" s="289">
        <v>1000</v>
      </c>
      <c r="M19" s="289"/>
      <c r="N19" s="289"/>
      <c r="O19" s="289"/>
    </row>
    <row r="20" spans="1:15" ht="12.75">
      <c r="A20" s="96" t="s">
        <v>227</v>
      </c>
      <c r="B20" s="2">
        <v>1</v>
      </c>
      <c r="C20" s="103" t="s">
        <v>201</v>
      </c>
      <c r="D20" s="218">
        <f>+'[1]costos del sist de drenaje'!$D$14</f>
        <v>1801.6040000000003</v>
      </c>
      <c r="E20" s="217">
        <f t="shared" si="0"/>
        <v>1801.6040000000003</v>
      </c>
      <c r="F20" s="217">
        <f t="shared" si="1"/>
        <v>0</v>
      </c>
      <c r="G20" s="289">
        <f>+F20+E20</f>
        <v>1801.6040000000003</v>
      </c>
      <c r="H20" s="289"/>
      <c r="I20" s="289"/>
      <c r="J20" s="289"/>
      <c r="K20" s="289"/>
      <c r="L20" s="289"/>
      <c r="M20" s="289"/>
      <c r="N20" s="289">
        <v>700</v>
      </c>
      <c r="O20" s="289"/>
    </row>
    <row r="21" spans="1:15" ht="12.75">
      <c r="A21" s="96" t="s">
        <v>374</v>
      </c>
      <c r="B21" s="2">
        <v>1</v>
      </c>
      <c r="C21" s="103" t="s">
        <v>201</v>
      </c>
      <c r="D21" s="218">
        <v>11000</v>
      </c>
      <c r="E21" s="217">
        <f>+D21</f>
        <v>11000</v>
      </c>
      <c r="F21" s="217">
        <f t="shared" si="1"/>
        <v>0</v>
      </c>
      <c r="G21" s="289">
        <f>+F21+E21</f>
        <v>11000</v>
      </c>
      <c r="H21" s="289"/>
      <c r="I21" s="289"/>
      <c r="J21" s="289">
        <v>3000</v>
      </c>
      <c r="K21" s="289"/>
      <c r="L21" s="289"/>
      <c r="M21" s="289">
        <v>3000</v>
      </c>
      <c r="N21" s="289"/>
      <c r="O21" s="289"/>
    </row>
    <row r="22" spans="1:15" ht="12.75">
      <c r="A22" s="96" t="s">
        <v>347</v>
      </c>
      <c r="B22" s="2">
        <v>1</v>
      </c>
      <c r="C22" s="103" t="s">
        <v>201</v>
      </c>
      <c r="D22" s="218">
        <f>+'[1]costo sist electrico'!$D$14</f>
        <v>478.15</v>
      </c>
      <c r="E22" s="217">
        <f aca="true" t="shared" si="3" ref="E22:E28">+D22*B22</f>
        <v>478.15</v>
      </c>
      <c r="F22" s="217">
        <f t="shared" si="1"/>
        <v>0</v>
      </c>
      <c r="G22" s="289">
        <f t="shared" si="2"/>
        <v>478.15</v>
      </c>
      <c r="H22" s="289"/>
      <c r="I22" s="289"/>
      <c r="J22" s="289"/>
      <c r="K22" s="289"/>
      <c r="L22" s="289"/>
      <c r="M22" s="289">
        <v>100</v>
      </c>
      <c r="N22" s="289"/>
      <c r="O22" s="289"/>
    </row>
    <row r="23" spans="1:15" ht="12.75">
      <c r="A23" s="96" t="s">
        <v>348</v>
      </c>
      <c r="B23" s="2">
        <v>1</v>
      </c>
      <c r="C23" s="103" t="s">
        <v>201</v>
      </c>
      <c r="D23" s="218">
        <f>+'[1]costo sist electrico'!$D$15</f>
        <v>810</v>
      </c>
      <c r="E23" s="217">
        <f t="shared" si="3"/>
        <v>810</v>
      </c>
      <c r="F23" s="217">
        <f t="shared" si="1"/>
        <v>0</v>
      </c>
      <c r="G23" s="289">
        <f t="shared" si="2"/>
        <v>810</v>
      </c>
      <c r="H23" s="289"/>
      <c r="I23" s="289"/>
      <c r="J23" s="289"/>
      <c r="K23" s="289"/>
      <c r="L23" s="289"/>
      <c r="M23" s="289"/>
      <c r="N23" s="289"/>
      <c r="O23" s="289">
        <v>200</v>
      </c>
    </row>
    <row r="24" spans="1:15" ht="12.75">
      <c r="A24" s="127" t="s">
        <v>228</v>
      </c>
      <c r="B24" s="4">
        <v>1</v>
      </c>
      <c r="C24" s="113" t="s">
        <v>201</v>
      </c>
      <c r="D24" s="221">
        <f>+'[1]Sist de Calefacción'!$E$8</f>
        <v>10985.26582278481</v>
      </c>
      <c r="E24" s="217">
        <f t="shared" si="3"/>
        <v>10985.26582278481</v>
      </c>
      <c r="F24" s="217"/>
      <c r="G24" s="289">
        <f t="shared" si="2"/>
        <v>10985.26582278481</v>
      </c>
      <c r="H24" s="289"/>
      <c r="I24" s="289"/>
      <c r="J24" s="289"/>
      <c r="K24" s="289"/>
      <c r="L24" s="289">
        <v>1000</v>
      </c>
      <c r="M24" s="289">
        <v>1000</v>
      </c>
      <c r="N24" s="289">
        <v>1000</v>
      </c>
      <c r="O24" s="289">
        <v>1000</v>
      </c>
    </row>
    <row r="25" spans="1:15" ht="12.75">
      <c r="A25" s="127" t="s">
        <v>229</v>
      </c>
      <c r="B25" s="4">
        <v>1</v>
      </c>
      <c r="C25" s="113" t="s">
        <v>201</v>
      </c>
      <c r="D25" s="221">
        <f>+'[1]costo constr bodega y baño'!$E$16</f>
        <v>1031.0500000000002</v>
      </c>
      <c r="E25" s="217">
        <f t="shared" si="3"/>
        <v>1031.0500000000002</v>
      </c>
      <c r="F25" s="217">
        <f>+E25*$F$6</f>
        <v>0</v>
      </c>
      <c r="G25" s="289">
        <f t="shared" si="2"/>
        <v>1031.0500000000002</v>
      </c>
      <c r="H25" s="289"/>
      <c r="I25" s="289"/>
      <c r="J25" s="289"/>
      <c r="K25" s="289"/>
      <c r="L25" s="289"/>
      <c r="M25" s="289"/>
      <c r="N25" s="289"/>
      <c r="O25" s="289"/>
    </row>
    <row r="26" spans="1:15" ht="12.75">
      <c r="A26" s="127" t="s">
        <v>230</v>
      </c>
      <c r="B26" s="4">
        <v>1</v>
      </c>
      <c r="C26" s="113" t="s">
        <v>201</v>
      </c>
      <c r="D26" s="221">
        <f>+'[1]costo constr fosa'!$E$7</f>
        <v>409.79999999999995</v>
      </c>
      <c r="E26" s="217">
        <f t="shared" si="3"/>
        <v>409.79999999999995</v>
      </c>
      <c r="F26" s="217">
        <f>+E26*$F$6</f>
        <v>0</v>
      </c>
      <c r="G26" s="289">
        <f t="shared" si="2"/>
        <v>409.79999999999995</v>
      </c>
      <c r="H26" s="289"/>
      <c r="I26" s="289"/>
      <c r="J26" s="289"/>
      <c r="K26" s="289"/>
      <c r="L26" s="289"/>
      <c r="M26" s="289"/>
      <c r="N26" s="289"/>
      <c r="O26" s="289"/>
    </row>
    <row r="27" spans="1:15" ht="12.75">
      <c r="A27" s="96" t="s">
        <v>236</v>
      </c>
      <c r="B27" s="2">
        <v>1</v>
      </c>
      <c r="C27" s="103" t="s">
        <v>201</v>
      </c>
      <c r="D27" s="218">
        <v>1612.5</v>
      </c>
      <c r="E27" s="217">
        <f t="shared" si="3"/>
        <v>1612.5</v>
      </c>
      <c r="F27" s="217">
        <f>+E27*$F$6</f>
        <v>0</v>
      </c>
      <c r="G27" s="289">
        <f t="shared" si="2"/>
        <v>1612.5</v>
      </c>
      <c r="H27" s="289"/>
      <c r="I27" s="289"/>
      <c r="J27" s="289"/>
      <c r="K27" s="289"/>
      <c r="L27" s="289"/>
      <c r="M27" s="289"/>
      <c r="N27" s="289"/>
      <c r="O27" s="289"/>
    </row>
    <row r="28" spans="1:15" ht="12.75">
      <c r="A28" s="96" t="s">
        <v>237</v>
      </c>
      <c r="B28" s="2">
        <v>1</v>
      </c>
      <c r="C28" s="103" t="str">
        <f>+C14</f>
        <v>Unid.</v>
      </c>
      <c r="D28" s="217">
        <v>3750</v>
      </c>
      <c r="E28" s="217">
        <f t="shared" si="3"/>
        <v>3750</v>
      </c>
      <c r="F28" s="217">
        <f>+E28*$F$6</f>
        <v>0</v>
      </c>
      <c r="G28" s="289">
        <f t="shared" si="2"/>
        <v>3750</v>
      </c>
      <c r="H28" s="289"/>
      <c r="I28" s="289"/>
      <c r="J28" s="289"/>
      <c r="K28" s="289"/>
      <c r="L28" s="289"/>
      <c r="M28" s="289"/>
      <c r="N28" s="289"/>
      <c r="O28" s="289"/>
    </row>
    <row r="29" spans="1:15" ht="12.75">
      <c r="A29" s="160" t="s">
        <v>205</v>
      </c>
      <c r="B29" s="161"/>
      <c r="C29" s="161"/>
      <c r="D29" s="162"/>
      <c r="E29" s="162"/>
      <c r="F29" s="162"/>
      <c r="G29" s="323">
        <f>SUM(G11:G28)</f>
        <v>61967.62982278482</v>
      </c>
      <c r="H29" s="324">
        <f>SUM(H10:H28)</f>
        <v>70</v>
      </c>
      <c r="I29" s="324">
        <f aca="true" t="shared" si="4" ref="I29:O29">SUM(I10:I28)</f>
        <v>200</v>
      </c>
      <c r="J29" s="324">
        <f t="shared" si="4"/>
        <v>3070</v>
      </c>
      <c r="K29" s="324">
        <f t="shared" si="4"/>
        <v>6200</v>
      </c>
      <c r="L29" s="324">
        <f t="shared" si="4"/>
        <v>3070</v>
      </c>
      <c r="M29" s="324">
        <f t="shared" si="4"/>
        <v>5300</v>
      </c>
      <c r="N29" s="324">
        <f t="shared" si="4"/>
        <v>2770</v>
      </c>
      <c r="O29" s="324">
        <f t="shared" si="4"/>
        <v>1400</v>
      </c>
    </row>
    <row r="30" spans="8:10" ht="12.75">
      <c r="H30" s="6"/>
      <c r="I30" s="6"/>
      <c r="J30" s="6"/>
    </row>
    <row r="31" spans="8:10" ht="12.75">
      <c r="H31" s="6"/>
      <c r="I31" s="6"/>
      <c r="J31" s="6"/>
    </row>
    <row r="32" spans="8:10" ht="12.75">
      <c r="H32" s="6"/>
      <c r="I32" s="6"/>
      <c r="J32" s="6"/>
    </row>
    <row r="33" spans="8:10" ht="12.75">
      <c r="H33" s="6"/>
      <c r="I33" s="6"/>
      <c r="J33" s="6"/>
    </row>
    <row r="34" spans="8:10" ht="12.75">
      <c r="H34" s="6"/>
      <c r="I34" s="6"/>
      <c r="J34" s="6"/>
    </row>
    <row r="35" spans="8:10" ht="12.75">
      <c r="H35" s="6"/>
      <c r="I35" s="6"/>
      <c r="J35" s="6"/>
    </row>
    <row r="36" spans="8:10" ht="12.75">
      <c r="H36" s="6"/>
      <c r="I36" s="6"/>
      <c r="J36" s="6"/>
    </row>
    <row r="37" spans="8:10" ht="12.75">
      <c r="H37" s="6"/>
      <c r="I37" s="6"/>
      <c r="J37" s="6"/>
    </row>
    <row r="38" spans="8:10" ht="12.75">
      <c r="H38" s="6"/>
      <c r="I38" s="6"/>
      <c r="J38" s="6"/>
    </row>
    <row r="39" spans="8:10" ht="12.75">
      <c r="H39" s="6"/>
      <c r="I39" s="6"/>
      <c r="J39" s="6"/>
    </row>
    <row r="40" spans="8:10" ht="12.75">
      <c r="H40" s="6"/>
      <c r="I40" s="6"/>
      <c r="J40" s="6"/>
    </row>
    <row r="41" spans="8:10" ht="12.75">
      <c r="H41" s="6"/>
      <c r="I41" s="6"/>
      <c r="J41" s="6"/>
    </row>
    <row r="42" spans="8:10" ht="12.75">
      <c r="H42" s="6"/>
      <c r="I42" s="6"/>
      <c r="J42" s="6"/>
    </row>
  </sheetData>
  <printOptions/>
  <pageMargins left="0.75" right="0.75" top="1" bottom="1" header="0" footer="0"/>
  <pageSetup fitToHeight="1"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2010-11-30T18:34:53Z</cp:lastPrinted>
  <dcterms:created xsi:type="dcterms:W3CDTF">2010-07-26T19:16:04Z</dcterms:created>
  <dcterms:modified xsi:type="dcterms:W3CDTF">2010-11-30T18:35:05Z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