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295" windowHeight="6300" tabRatio="855" firstSheet="3" activeTab="7"/>
  </bookViews>
  <sheets>
    <sheet name="Plano Invernadero" sheetId="1" r:id="rId1"/>
    <sheet name="costos inv, cont y almac" sheetId="2" r:id="rId2"/>
    <sheet name="costos sist cond y rec de agua" sheetId="3" r:id="rId3"/>
    <sheet name="costos del sist de drenaje" sheetId="4" r:id="rId4"/>
    <sheet name="costo sist electrico" sheetId="5" r:id="rId5"/>
    <sheet name="Sist de Calefacción" sheetId="6" r:id="rId6"/>
    <sheet name="costo constr bodega y baño" sheetId="7" r:id="rId7"/>
    <sheet name="costo constr fosa" sheetId="8" r:id="rId8"/>
    <sheet name="1" sheetId="9" r:id="rId9"/>
  </sheets>
  <definedNames/>
  <calcPr fullCalcOnLoad="1"/>
</workbook>
</file>

<file path=xl/comments6.xml><?xml version="1.0" encoding="utf-8"?>
<comments xmlns="http://schemas.openxmlformats.org/spreadsheetml/2006/main">
  <authors>
    <author>WinXP</author>
  </authors>
  <commentList>
    <comment ref="H2" authorId="0">
      <text>
        <r>
          <rPr>
            <sz val="8"/>
            <rFont val="Tahoma"/>
            <family val="0"/>
          </rPr>
          <t xml:space="preserve">6 horas minimo por dia por 30 dias al mes promedio por 4
 meses de frio.
</t>
        </r>
      </text>
    </comment>
    <comment ref="I2" authorId="0">
      <text>
        <r>
          <rPr>
            <b/>
            <sz val="8"/>
            <rFont val="Tahoma"/>
            <family val="0"/>
          </rPr>
          <t>WinXP:</t>
        </r>
        <r>
          <rPr>
            <sz val="8"/>
            <rFont val="Tahoma"/>
            <family val="0"/>
          </rPr>
          <t xml:space="preserve">
2 horas al dia por 30 dias al mes por 6 meses de calor. </t>
        </r>
      </text>
    </comment>
    <comment ref="B4" authorId="0">
      <text>
        <r>
          <rPr>
            <b/>
            <sz val="8"/>
            <rFont val="Tahoma"/>
            <family val="0"/>
          </rPr>
          <t>WinXP:</t>
        </r>
        <r>
          <rPr>
            <sz val="8"/>
            <rFont val="Tahoma"/>
            <family val="0"/>
          </rPr>
          <t xml:space="preserve">
Son dos aparatos por nave.</t>
        </r>
      </text>
    </comment>
    <comment ref="B5" authorId="0">
      <text>
        <r>
          <rPr>
            <b/>
            <sz val="8"/>
            <rFont val="Tahoma"/>
            <family val="0"/>
          </rPr>
          <t>WinXP:</t>
        </r>
        <r>
          <rPr>
            <sz val="8"/>
            <rFont val="Tahoma"/>
            <family val="0"/>
          </rPr>
          <t xml:space="preserve">
Es una manga por nave de invernadero.</t>
        </r>
      </text>
    </comment>
    <comment ref="B6" authorId="0">
      <text>
        <r>
          <rPr>
            <sz val="8"/>
            <rFont val="Tahoma"/>
            <family val="0"/>
          </rPr>
          <t>2 hs total para 2 naves</t>
        </r>
      </text>
    </comment>
  </commentList>
</comments>
</file>

<file path=xl/sharedStrings.xml><?xml version="1.0" encoding="utf-8"?>
<sst xmlns="http://schemas.openxmlformats.org/spreadsheetml/2006/main" count="452" uniqueCount="327">
  <si>
    <t>TOTAL</t>
  </si>
  <si>
    <t>MANO DE OBRA</t>
  </si>
  <si>
    <t>CANTIDAD</t>
  </si>
  <si>
    <t>m3</t>
  </si>
  <si>
    <t>RADIER</t>
  </si>
  <si>
    <t>CONTENEDORES</t>
  </si>
  <si>
    <t xml:space="preserve">CECHAS DE PINO </t>
  </si>
  <si>
    <t>PIEZAS</t>
  </si>
  <si>
    <t>TOTAL PIEZAS</t>
  </si>
  <si>
    <t>PIEZA</t>
  </si>
  <si>
    <t>1´x4´´</t>
  </si>
  <si>
    <t>TOTAL PULGADAS</t>
  </si>
  <si>
    <t>VALOR PULGADA</t>
  </si>
  <si>
    <t>U$S 3.24</t>
  </si>
  <si>
    <t>VALOR TOTAL U$</t>
  </si>
  <si>
    <t>SOLERAS</t>
  </si>
  <si>
    <t>DIMENSION</t>
  </si>
  <si>
    <t>2x3´´x3.6m</t>
  </si>
  <si>
    <t>ITEM</t>
  </si>
  <si>
    <t>Cantidad</t>
  </si>
  <si>
    <t>Valor</t>
  </si>
  <si>
    <t>INTEGRAL</t>
  </si>
  <si>
    <t>8 m3</t>
  </si>
  <si>
    <t>U$S 43.2</t>
  </si>
  <si>
    <t>BOLSAS CEMENTO</t>
  </si>
  <si>
    <t>U$S 305</t>
  </si>
  <si>
    <t>FIERRO ESPARRAGO 6 mm (KG)</t>
  </si>
  <si>
    <t xml:space="preserve">U$S 0.18 </t>
  </si>
  <si>
    <t>VENTANAS</t>
  </si>
  <si>
    <t>PIEZAS TOTALES</t>
  </si>
  <si>
    <t>2 x 2´´</t>
  </si>
  <si>
    <t>PIES DERECHOS</t>
  </si>
  <si>
    <t xml:space="preserve">CANTIDAD </t>
  </si>
  <si>
    <t>3 x 3´´ x 2</t>
  </si>
  <si>
    <t>CADENETAS</t>
  </si>
  <si>
    <t>2 x 3´´x 3.6mm</t>
  </si>
  <si>
    <t>COSTANERAS</t>
  </si>
  <si>
    <t>CANALETAS DE INVERNADERO</t>
  </si>
  <si>
    <t>VALOR U.</t>
  </si>
  <si>
    <t xml:space="preserve">CANALETA PVC BLANCO x 4m </t>
  </si>
  <si>
    <t xml:space="preserve">U$S 7.88 </t>
  </si>
  <si>
    <t>U$S  267.93</t>
  </si>
  <si>
    <t>BAJADA DE AGUA</t>
  </si>
  <si>
    <t>U$S  6.06</t>
  </si>
  <si>
    <t>U$S  48.47</t>
  </si>
  <si>
    <t>COPLA BAJJADA DE AGUA</t>
  </si>
  <si>
    <t>U$S  3.1</t>
  </si>
  <si>
    <t>U$S  24.82</t>
  </si>
  <si>
    <t>CODO</t>
  </si>
  <si>
    <t>U$S  2.92</t>
  </si>
  <si>
    <t>U$S  23.36</t>
  </si>
  <si>
    <t>GANCHOS</t>
  </si>
  <si>
    <t>U$S  1.6</t>
  </si>
  <si>
    <t>U$S  75.18</t>
  </si>
  <si>
    <t>TUBO BAJADA DE AGUA</t>
  </si>
  <si>
    <t>U$S  6.4</t>
  </si>
  <si>
    <t>U$S  51.26</t>
  </si>
  <si>
    <t>POLIETILENO 0.15</t>
  </si>
  <si>
    <t>TOTAL M2</t>
  </si>
  <si>
    <t>VALOR M2</t>
  </si>
  <si>
    <t>U$S 0.80</t>
  </si>
  <si>
    <t>POLIETILENO 0.1 (CAPA INTERNA)</t>
  </si>
  <si>
    <t>U$S 0.44</t>
  </si>
  <si>
    <t>MALLA RASCHELL (80%)</t>
  </si>
  <si>
    <t>U$S 0.56</t>
  </si>
  <si>
    <t>CLAVOS</t>
  </si>
  <si>
    <t>KG</t>
  </si>
  <si>
    <t>VALOR KG</t>
  </si>
  <si>
    <t>21/2´´</t>
  </si>
  <si>
    <t xml:space="preserve">U$S 1.68 </t>
  </si>
  <si>
    <t>U$S 84.15</t>
  </si>
  <si>
    <t>3´´</t>
  </si>
  <si>
    <t>U$S  42.07</t>
  </si>
  <si>
    <t>4´´</t>
  </si>
  <si>
    <t xml:space="preserve">U$S 84.15 </t>
  </si>
  <si>
    <t>ALAMBRE</t>
  </si>
  <si>
    <t>M</t>
  </si>
  <si>
    <t>VALOR M</t>
  </si>
  <si>
    <t>GALVANIZADO Nº 18</t>
  </si>
  <si>
    <t>U$S 0.066</t>
  </si>
  <si>
    <t>U$S  27.6</t>
  </si>
  <si>
    <t>TOTAL ESTRUCTURA</t>
  </si>
  <si>
    <t>TOTAL INVERNADERO U$</t>
  </si>
  <si>
    <t>13 CONTENEDORES DE 1.6m x 40.5m x0.2m</t>
  </si>
  <si>
    <t>VALOR TOTAL</t>
  </si>
  <si>
    <t>BASE</t>
  </si>
  <si>
    <t>1 x 10´´ x 3.6m</t>
  </si>
  <si>
    <t>U$S 3032.64</t>
  </si>
  <si>
    <t>LATERALES</t>
  </si>
  <si>
    <t>1 x 8´´ x 3.6 m</t>
  </si>
  <si>
    <t>U$S 834.62</t>
  </si>
  <si>
    <t>TABLAS</t>
  </si>
  <si>
    <t>1 x 4´´ x 1.6m</t>
  </si>
  <si>
    <t>U$S 188.18</t>
  </si>
  <si>
    <t>POSTES</t>
  </si>
  <si>
    <t>2 x 2´´ x 1.2m</t>
  </si>
  <si>
    <t>U$S 264.38</t>
  </si>
  <si>
    <t>TOTAL U$</t>
  </si>
  <si>
    <t>NYLON NEGRO 0.1 cm</t>
  </si>
  <si>
    <t>U$S 0.74</t>
  </si>
  <si>
    <t>POLIESTIRENO 30 mm</t>
  </si>
  <si>
    <t>U$S 1.33</t>
  </si>
  <si>
    <t>TOTAL CONTENDORES U$</t>
  </si>
  <si>
    <t>ALMACIGUERAS</t>
  </si>
  <si>
    <t>20 ALMACIGUERAS DE 1.5m x 1.0m x 0.10m</t>
  </si>
  <si>
    <t>U$S 110.16</t>
  </si>
  <si>
    <t>1 x 4´´ x 3.6m</t>
  </si>
  <si>
    <t>U$S 36.28</t>
  </si>
  <si>
    <t>SUBTOTAL</t>
  </si>
  <si>
    <t>TOTAL ALMACIGUERAS Y CONTENDORES</t>
  </si>
  <si>
    <t>MANO DE OBRA TOTAL U$</t>
  </si>
  <si>
    <t>INVERNADEROS</t>
  </si>
  <si>
    <t>CONDUCCION DE AGUA</t>
  </si>
  <si>
    <t>LLAVE 3/4´´</t>
  </si>
  <si>
    <t>U$S 3.86</t>
  </si>
  <si>
    <t>CODOS 3/4´´</t>
  </si>
  <si>
    <t>U$S 0.22</t>
  </si>
  <si>
    <t>CODOS 3/4´´ HI</t>
  </si>
  <si>
    <t>U$S 0.42</t>
  </si>
  <si>
    <t>CODO 1´´</t>
  </si>
  <si>
    <t>U$S 0.34</t>
  </si>
  <si>
    <t>COPLA 32 mm x 25 mm</t>
  </si>
  <si>
    <t>COPLA 32mm</t>
  </si>
  <si>
    <t>U$S 0.24</t>
  </si>
  <si>
    <t>Tee (1x3/4´´)</t>
  </si>
  <si>
    <t>U$S 0.83</t>
  </si>
  <si>
    <t>Tee 3/4´´</t>
  </si>
  <si>
    <t>U$S 0.35</t>
  </si>
  <si>
    <t>CRUZ 3/4´´</t>
  </si>
  <si>
    <t>ABRAZADERAS</t>
  </si>
  <si>
    <t>U$S 0.48</t>
  </si>
  <si>
    <t>TUBO PVC 1´´ x 6m</t>
  </si>
  <si>
    <t>U$S 2.78</t>
  </si>
  <si>
    <t>TUBO PVC 3/4´´ x 6m</t>
  </si>
  <si>
    <t>U$S 1.75</t>
  </si>
  <si>
    <t>COLLAR DE ARRANQUE</t>
  </si>
  <si>
    <t>U$S 1.87</t>
  </si>
  <si>
    <t>LLAVE DE PASO 1´´ HI</t>
  </si>
  <si>
    <t>U$S 4.9</t>
  </si>
  <si>
    <t>TERMINALES 1´´ HE</t>
  </si>
  <si>
    <t>U$S 0.26</t>
  </si>
  <si>
    <t>TERMINALES 1´´ HI</t>
  </si>
  <si>
    <t>U$S 0.68</t>
  </si>
  <si>
    <t>TORNILLOS MADERA x 12</t>
  </si>
  <si>
    <t>U$S 0.4</t>
  </si>
  <si>
    <t>ADHESIVO 60 cc</t>
  </si>
  <si>
    <t>U$S 1.04</t>
  </si>
  <si>
    <t>TEFLON 3/4´´</t>
  </si>
  <si>
    <t>U$S 0.29</t>
  </si>
  <si>
    <t>FILTRO</t>
  </si>
  <si>
    <t>U$S 15.46</t>
  </si>
  <si>
    <t>RECIRCULACION DE AGUA</t>
  </si>
  <si>
    <t>CAÑERIA POLIETILENO</t>
  </si>
  <si>
    <t>U$S  7.92</t>
  </si>
  <si>
    <t>TUBO PVC  1´´ x 6m</t>
  </si>
  <si>
    <t>U$S  2.78</t>
  </si>
  <si>
    <t>U$S  1.75</t>
  </si>
  <si>
    <t xml:space="preserve">CODOS 3/4´´ </t>
  </si>
  <si>
    <t>U$S  0.22</t>
  </si>
  <si>
    <t>TERMINAL 1 CEM/HE</t>
  </si>
  <si>
    <t>U$S  0.26</t>
  </si>
  <si>
    <t>BUJE RED LARGA 32 x 25 CE</t>
  </si>
  <si>
    <t>U$S  0.44</t>
  </si>
  <si>
    <t>TERMINAL 25x3/4´´ CEM/HE</t>
  </si>
  <si>
    <t>U$S  0.24</t>
  </si>
  <si>
    <t>TEE PLANSA 1/2´´ (3 U)</t>
  </si>
  <si>
    <t>U$S  1.09</t>
  </si>
  <si>
    <t>CODOS PLANSA 1/2´´ (3 U)</t>
  </si>
  <si>
    <t>U$S  0.74</t>
  </si>
  <si>
    <t>REDUCCION PLANSA 3/4x1/2</t>
  </si>
  <si>
    <t>U$S  0.29</t>
  </si>
  <si>
    <t>UNION PLANSA 3/4´´</t>
  </si>
  <si>
    <t>U$S  0.33</t>
  </si>
  <si>
    <t>BOMBA 1/2 HP</t>
  </si>
  <si>
    <t>U$S  30</t>
  </si>
  <si>
    <t>INTERRUPTOR AUTOMATICO 32 A</t>
  </si>
  <si>
    <t>U$S  5</t>
  </si>
  <si>
    <t>VALVULA DE PIE FILTRO ACERO INOX 1´´</t>
  </si>
  <si>
    <t>U$S  7.75</t>
  </si>
  <si>
    <t>ESTANQUE 1200 LT POLIETILENO</t>
  </si>
  <si>
    <t>U$S  169.92</t>
  </si>
  <si>
    <t>TIMER</t>
  </si>
  <si>
    <t>U$S  27</t>
  </si>
  <si>
    <t>VALOR U</t>
  </si>
  <si>
    <t>LLAVE DE PASO 40 mm</t>
  </si>
  <si>
    <t>U$S 8.067</t>
  </si>
  <si>
    <t>CODO PVC 40 mm</t>
  </si>
  <si>
    <t>TEE PVC 40 mm</t>
  </si>
  <si>
    <t>U$S 0.91</t>
  </si>
  <si>
    <t>TEE PVC 40 x 100 mm</t>
  </si>
  <si>
    <t>U$S 2.8</t>
  </si>
  <si>
    <t>REDUCTOR 40-50 mm</t>
  </si>
  <si>
    <t>U$S 0.50</t>
  </si>
  <si>
    <t>REDUCTOR 100-50 mm</t>
  </si>
  <si>
    <t>U$S 1.65</t>
  </si>
  <si>
    <t>COPLA PVC</t>
  </si>
  <si>
    <t>U$S 0.46</t>
  </si>
  <si>
    <t>CODO PVC 110 mm</t>
  </si>
  <si>
    <t>U$S 3.22</t>
  </si>
  <si>
    <t>TEE PVC 110 mm</t>
  </si>
  <si>
    <t>U$S 4.19</t>
  </si>
  <si>
    <t>TUBO PVC  40 mm x 3 m</t>
  </si>
  <si>
    <t>U$S 3.35</t>
  </si>
  <si>
    <t>TUBO PVC 110 mm x 6 m</t>
  </si>
  <si>
    <t>U$S 21.18</t>
  </si>
  <si>
    <t>SUBTOTAL U$S</t>
  </si>
  <si>
    <t>TOTAL U$S</t>
  </si>
  <si>
    <t>Fuente: http://www.riegoydrenaje.com</t>
  </si>
  <si>
    <t>U$S 0.14</t>
  </si>
  <si>
    <t>AUTOMATICOS</t>
  </si>
  <si>
    <t>U$S 3.87</t>
  </si>
  <si>
    <t>DIFERENCIAL</t>
  </si>
  <si>
    <t>U$S 25.47</t>
  </si>
  <si>
    <t>CALOTA PLASTICA</t>
  </si>
  <si>
    <t>U$S 3.60</t>
  </si>
  <si>
    <t>CAJA CHUJ</t>
  </si>
  <si>
    <t>U$S 0.66</t>
  </si>
  <si>
    <t>BARRRA COPERWARE</t>
  </si>
  <si>
    <t>U$S 3.32</t>
  </si>
  <si>
    <t>ENCHUFES TRIPLES</t>
  </si>
  <si>
    <t>U$S 1.70</t>
  </si>
  <si>
    <t>INTERRUPTORES</t>
  </si>
  <si>
    <t>U$S 1.8</t>
  </si>
  <si>
    <t>TUBOS</t>
  </si>
  <si>
    <t>U$S 1.58</t>
  </si>
  <si>
    <t>CANOAS</t>
  </si>
  <si>
    <t>U$S 3.53</t>
  </si>
  <si>
    <t>CABLE 1.5</t>
  </si>
  <si>
    <t>U$S 0.11</t>
  </si>
  <si>
    <t>CABLE 2.5</t>
  </si>
  <si>
    <t>U$S 0.21</t>
  </si>
  <si>
    <t>INSTALACION DE LUZ EN PARTE DEL CAMPO</t>
  </si>
  <si>
    <t>TUBO CONDUCTO m</t>
  </si>
  <si>
    <t>Fuente:   Todo Eléctrico S.R.L. Rio Cuarto, Cba; Electricista Seeg, Rio Cuarto, Cba.</t>
  </si>
  <si>
    <t>DESCRIPCION</t>
  </si>
  <si>
    <t>2 x 3'' x 3,6 m</t>
  </si>
  <si>
    <t>TIJERAL</t>
  </si>
  <si>
    <t>2 x 4'' x 3,6 m</t>
  </si>
  <si>
    <t>U$S  3.24</t>
  </si>
  <si>
    <t>PUERTAS</t>
  </si>
  <si>
    <t>0,7 x 2 m</t>
  </si>
  <si>
    <t>U$S  10.80</t>
  </si>
  <si>
    <t>PLANCHA INTERNIT</t>
  </si>
  <si>
    <t>3,5 mm. x 1,2 x 4m</t>
  </si>
  <si>
    <t>U$S 14.76</t>
  </si>
  <si>
    <t>PLANCHA ZINC ACANALADO</t>
  </si>
  <si>
    <t>3,5 m</t>
  </si>
  <si>
    <t>U$S 14.04</t>
  </si>
  <si>
    <t>PLANCHA ZINC 5 V</t>
  </si>
  <si>
    <t>2,5 m</t>
  </si>
  <si>
    <t>U$S 11.34</t>
  </si>
  <si>
    <t>(m3)</t>
  </si>
  <si>
    <t>U$S 5.40</t>
  </si>
  <si>
    <t>CEMENTO</t>
  </si>
  <si>
    <t>(bolsa 50 Kg.)</t>
  </si>
  <si>
    <t>U$S 7.65</t>
  </si>
  <si>
    <t>TUBO PVC SANITARIO 6m</t>
  </si>
  <si>
    <t>110 mm.</t>
  </si>
  <si>
    <t>U$S 21.19</t>
  </si>
  <si>
    <t>CODO PVC</t>
  </si>
  <si>
    <t>Codos</t>
  </si>
  <si>
    <t>WC</t>
  </si>
  <si>
    <t>U$S 28.76</t>
  </si>
  <si>
    <t>ESTANQUE</t>
  </si>
  <si>
    <t>U$S 14.38</t>
  </si>
  <si>
    <t>LLAVE DE BOLA</t>
  </si>
  <si>
    <t>U$S 2.44</t>
  </si>
  <si>
    <t>MADERAS</t>
  </si>
  <si>
    <t>Fuente: Carpinteria de Javier Meichstri. Rio Cuarto. Cba.</t>
  </si>
  <si>
    <t>BOLSA DE CEMENTO</t>
  </si>
  <si>
    <t>Bolsa 50 Kg.</t>
  </si>
  <si>
    <t>U$S 7.63</t>
  </si>
  <si>
    <t>PVC SANITARIO 3m</t>
  </si>
  <si>
    <t>U$S 11.07</t>
  </si>
  <si>
    <t>TEE PVC SANITARIO</t>
  </si>
  <si>
    <t>FOSA SEPTICA PVC</t>
  </si>
  <si>
    <t>1200 l</t>
  </si>
  <si>
    <t>U$S 305.96</t>
  </si>
  <si>
    <t>Fuente: DISTROCAT: http://www.distrocat.com.ar/geomembranas/</t>
  </si>
  <si>
    <t>MANO DE OBRA                                                                                              540</t>
  </si>
  <si>
    <t>PLANO NAVES INVERNADERO</t>
  </si>
  <si>
    <t>Superficie total:</t>
  </si>
  <si>
    <t>mts 2</t>
  </si>
  <si>
    <t>Total Naves</t>
  </si>
  <si>
    <t>Medidas</t>
  </si>
  <si>
    <t>Sup Nave 1:</t>
  </si>
  <si>
    <t>Largo</t>
  </si>
  <si>
    <t>Ancho</t>
  </si>
  <si>
    <t>Total mts 2 x nave</t>
  </si>
  <si>
    <t>Espacios libres/pasillos</t>
  </si>
  <si>
    <t>total mts - espacios libres</t>
  </si>
  <si>
    <t>Sup Nave 2:</t>
  </si>
  <si>
    <t xml:space="preserve">Total mts: </t>
  </si>
  <si>
    <t>Equipos</t>
  </si>
  <si>
    <t>Kilo/calorias</t>
  </si>
  <si>
    <t>P.Unit. c/Iva</t>
  </si>
  <si>
    <t>Precio Final</t>
  </si>
  <si>
    <t>Cons. Comb</t>
  </si>
  <si>
    <t>Medida</t>
  </si>
  <si>
    <t>Cons. Invierno</t>
  </si>
  <si>
    <t>Cons. Verano</t>
  </si>
  <si>
    <t>Cons. Tot Anual</t>
  </si>
  <si>
    <t>Precio Biod.</t>
  </si>
  <si>
    <t>Total Comb</t>
  </si>
  <si>
    <t>Agro 70 Chico</t>
  </si>
  <si>
    <t>h</t>
  </si>
  <si>
    <t>Mangas Tuberia Plastica 500mm 120 mts</t>
  </si>
  <si>
    <t>-</t>
  </si>
  <si>
    <t>Mano de Obra (propia)</t>
  </si>
  <si>
    <t>hs</t>
  </si>
  <si>
    <t>Flete Bs As - Rio Cuarto</t>
  </si>
  <si>
    <t>km</t>
  </si>
  <si>
    <t>Total</t>
  </si>
  <si>
    <t>Total anual</t>
  </si>
  <si>
    <t xml:space="preserve">Fuente: </t>
  </si>
  <si>
    <t>http://www.refrimatica.com.ar</t>
  </si>
  <si>
    <t>Total prom mensual</t>
  </si>
  <si>
    <t>1.Los costos fueron investigados en INTA BELLAVISTA; INTA COLONIA BENITEZ; http://www.carpinteriaintegral.com/; http://plasticulturaonline.com.ar/</t>
  </si>
  <si>
    <t xml:space="preserve">2.Los costos fueron investigados en las siguientes empresas: DASSPLASTIC DEL MERCOSUR SRL, REYFIL SRL. </t>
  </si>
  <si>
    <t>FUENTE SAGPYA</t>
  </si>
  <si>
    <t>COSTOS INVERNADERO, CONTENEDORES Y ALMACIGUERAS</t>
  </si>
  <si>
    <t>COSTOS SISTEMA DE CONDUCCION Y RECIRCULACION DE AGUA</t>
  </si>
  <si>
    <t>COSTO DEL SISTEMA DE DRENAJE</t>
  </si>
  <si>
    <t>COSTOS DEL SISTEMA ELECTRICO</t>
  </si>
  <si>
    <t>COSTOS Sistema de Calefacción</t>
  </si>
  <si>
    <t>COSTO CONSTRUCCIÓN BODEGA Y BAÑO</t>
  </si>
  <si>
    <t>COSTO CONSTRUCCION FOSA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</si>
</sst>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409]#,##0.00"/>
    <numFmt numFmtId="173" formatCode="#,##0.00\ [$USD]"/>
    <numFmt numFmtId="174" formatCode="[$$-2C0A]\ #,##0.00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  <font>
      <sz val="8"/>
      <name val="Arial"/>
      <family val="0"/>
    </font>
    <font>
      <b/>
      <sz val="10"/>
      <color indexed="13"/>
      <name val="Arial"/>
      <family val="2"/>
    </font>
    <font>
      <b/>
      <i/>
      <sz val="10"/>
      <color indexed="1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horizontal="right" wrapText="1"/>
    </xf>
    <xf numFmtId="0" fontId="0" fillId="2" borderId="6" xfId="0" applyFill="1" applyBorder="1" applyAlignment="1">
      <alignment wrapText="1"/>
    </xf>
    <xf numFmtId="0" fontId="0" fillId="2" borderId="0" xfId="0" applyFill="1" applyBorder="1" applyAlignment="1">
      <alignment horizontal="right"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 wrapText="1"/>
    </xf>
    <xf numFmtId="0" fontId="1" fillId="0" borderId="1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0" fillId="2" borderId="5" xfId="0" applyFill="1" applyBorder="1" applyAlignment="1">
      <alignment horizontal="right" wrapText="1"/>
    </xf>
    <xf numFmtId="0" fontId="0" fillId="2" borderId="7" xfId="0" applyFill="1" applyBorder="1" applyAlignment="1">
      <alignment horizontal="right" wrapText="1"/>
    </xf>
    <xf numFmtId="0" fontId="0" fillId="2" borderId="10" xfId="0" applyFill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Fill="1" applyAlignment="1">
      <alignment/>
    </xf>
    <xf numFmtId="2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4" xfId="0" applyFill="1" applyBorder="1" applyAlignment="1">
      <alignment horizontal="right"/>
    </xf>
    <xf numFmtId="0" fontId="1" fillId="3" borderId="2" xfId="0" applyFont="1" applyFill="1" applyBorder="1" applyAlignment="1">
      <alignment horizontal="right" wrapText="1"/>
    </xf>
    <xf numFmtId="0" fontId="0" fillId="3" borderId="11" xfId="0" applyFill="1" applyBorder="1" applyAlignment="1">
      <alignment wrapText="1"/>
    </xf>
    <xf numFmtId="0" fontId="0" fillId="3" borderId="11" xfId="0" applyFill="1" applyBorder="1" applyAlignment="1">
      <alignment horizontal="right" wrapText="1"/>
    </xf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right"/>
    </xf>
    <xf numFmtId="0" fontId="1" fillId="3" borderId="0" xfId="0" applyFont="1" applyFill="1" applyAlignment="1">
      <alignment/>
    </xf>
    <xf numFmtId="0" fontId="0" fillId="3" borderId="1" xfId="0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/>
    </xf>
    <xf numFmtId="0" fontId="1" fillId="3" borderId="6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 wrapText="1"/>
    </xf>
    <xf numFmtId="0" fontId="1" fillId="3" borderId="5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13" xfId="0" applyFont="1" applyFill="1" applyBorder="1" applyAlignment="1">
      <alignment horizontal="right"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4" fillId="3" borderId="0" xfId="0" applyFont="1" applyFill="1" applyAlignment="1">
      <alignment/>
    </xf>
    <xf numFmtId="2" fontId="1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0" fillId="0" borderId="1" xfId="0" applyFont="1" applyBorder="1" applyAlignment="1">
      <alignment horizontal="center"/>
    </xf>
    <xf numFmtId="173" fontId="0" fillId="0" borderId="1" xfId="0" applyNumberFormat="1" applyBorder="1" applyAlignment="1">
      <alignment/>
    </xf>
    <xf numFmtId="173" fontId="1" fillId="0" borderId="1" xfId="0" applyNumberFormat="1" applyFont="1" applyBorder="1" applyAlignment="1">
      <alignment horizontal="right"/>
    </xf>
    <xf numFmtId="173" fontId="1" fillId="0" borderId="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17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6" fillId="3" borderId="1" xfId="0" applyFont="1" applyFill="1" applyBorder="1" applyAlignment="1">
      <alignment/>
    </xf>
    <xf numFmtId="0" fontId="6" fillId="3" borderId="12" xfId="0" applyFont="1" applyFill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172" fontId="0" fillId="0" borderId="1" xfId="0" applyNumberFormat="1" applyBorder="1" applyAlignment="1">
      <alignment/>
    </xf>
    <xf numFmtId="172" fontId="6" fillId="3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3" borderId="13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pinteriaintegral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E11"/>
    </sheetView>
  </sheetViews>
  <sheetFormatPr defaultColWidth="11.421875" defaultRowHeight="12.75"/>
  <cols>
    <col min="1" max="1" width="29.57421875" style="0" customWidth="1"/>
    <col min="3" max="3" width="14.8515625" style="0" customWidth="1"/>
    <col min="4" max="4" width="17.421875" style="82" customWidth="1"/>
    <col min="5" max="5" width="17.8515625" style="0" customWidth="1"/>
    <col min="6" max="6" width="18.7109375" style="0" customWidth="1"/>
  </cols>
  <sheetData>
    <row r="1" spans="1:3" ht="12.75">
      <c r="A1" s="88" t="s">
        <v>280</v>
      </c>
      <c r="B1" s="3"/>
      <c r="C1" s="3"/>
    </row>
    <row r="2" spans="1:3" ht="18" customHeight="1">
      <c r="A2" s="3" t="s">
        <v>281</v>
      </c>
      <c r="B2" s="3">
        <v>1597.5</v>
      </c>
      <c r="C2" t="s">
        <v>282</v>
      </c>
    </row>
    <row r="3" spans="1:2" ht="12.75">
      <c r="A3" s="3" t="s">
        <v>283</v>
      </c>
      <c r="B3" s="3">
        <v>2</v>
      </c>
    </row>
    <row r="4" spans="1:4" ht="12.75">
      <c r="A4" s="86" t="s">
        <v>284</v>
      </c>
      <c r="B4" s="87" t="s">
        <v>285</v>
      </c>
      <c r="C4" s="87" t="s">
        <v>291</v>
      </c>
      <c r="D4" s="86" t="s">
        <v>292</v>
      </c>
    </row>
    <row r="5" spans="1:4" ht="12.75">
      <c r="A5" s="26" t="s">
        <v>286</v>
      </c>
      <c r="B5" s="1">
        <v>45</v>
      </c>
      <c r="C5" s="1">
        <v>45</v>
      </c>
      <c r="D5" s="83"/>
    </row>
    <row r="6" spans="1:4" ht="12.75">
      <c r="A6" s="26" t="s">
        <v>287</v>
      </c>
      <c r="B6" s="1">
        <v>19</v>
      </c>
      <c r="C6" s="1">
        <v>16.5</v>
      </c>
      <c r="D6" s="83"/>
    </row>
    <row r="7" spans="1:4" ht="12.75">
      <c r="A7" s="26" t="s">
        <v>288</v>
      </c>
      <c r="B7" s="81">
        <f>+B6*B5</f>
        <v>855</v>
      </c>
      <c r="C7" s="81">
        <f>+C6*C5</f>
        <v>742.5</v>
      </c>
      <c r="D7" s="84">
        <f>+C7+B7</f>
        <v>1597.5</v>
      </c>
    </row>
    <row r="8" spans="1:4" ht="12.75">
      <c r="A8" s="26" t="s">
        <v>289</v>
      </c>
      <c r="B8" s="2">
        <f>1.62*B6</f>
        <v>30.78</v>
      </c>
      <c r="C8" s="2">
        <f>1.62*C6</f>
        <v>26.73</v>
      </c>
      <c r="D8" s="85">
        <f>+C8+B8</f>
        <v>57.510000000000005</v>
      </c>
    </row>
    <row r="9" spans="1:4" ht="12.75">
      <c r="A9" s="26" t="s">
        <v>290</v>
      </c>
      <c r="B9" s="2">
        <f>+B7-B8</f>
        <v>824.22</v>
      </c>
      <c r="C9" s="2">
        <f>+C7-C8</f>
        <v>715.77</v>
      </c>
      <c r="D9" s="85">
        <f>+C9+B9</f>
        <v>1539.99</v>
      </c>
    </row>
  </sheetData>
  <printOptions/>
  <pageMargins left="0.75" right="0.75" top="2.7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workbookViewId="0" topLeftCell="A109">
      <selection activeCell="J125" sqref="A1:J125"/>
    </sheetView>
  </sheetViews>
  <sheetFormatPr defaultColWidth="11.421875" defaultRowHeight="12.75"/>
  <cols>
    <col min="1" max="1" width="31.57421875" style="0" bestFit="1" customWidth="1"/>
  </cols>
  <sheetData>
    <row r="1" spans="1:4" ht="12.75">
      <c r="A1" s="58" t="s">
        <v>320</v>
      </c>
      <c r="B1" s="58"/>
      <c r="C1" s="58"/>
      <c r="D1" s="58"/>
    </row>
    <row r="3" spans="1:6" ht="12.75">
      <c r="A3" s="119" t="s">
        <v>111</v>
      </c>
      <c r="B3" s="119"/>
      <c r="C3" s="119"/>
      <c r="D3" s="119"/>
      <c r="E3" s="119"/>
      <c r="F3" s="119"/>
    </row>
    <row r="4" spans="1:6" ht="12.75">
      <c r="A4" s="132" t="s">
        <v>6</v>
      </c>
      <c r="B4" s="133"/>
      <c r="C4" s="133"/>
      <c r="D4" s="133"/>
      <c r="E4" s="133"/>
      <c r="F4" s="134"/>
    </row>
    <row r="5" spans="1:6" ht="12.75">
      <c r="A5" s="5" t="s">
        <v>2</v>
      </c>
      <c r="B5" s="6"/>
      <c r="C5" s="6"/>
      <c r="D5" s="6"/>
      <c r="E5" s="6"/>
      <c r="F5" s="7">
        <v>56</v>
      </c>
    </row>
    <row r="6" spans="1:6" ht="12.75">
      <c r="A6" s="8" t="s">
        <v>7</v>
      </c>
      <c r="B6" s="9"/>
      <c r="C6" s="9"/>
      <c r="D6" s="9"/>
      <c r="E6" s="9"/>
      <c r="F6" s="10">
        <v>18</v>
      </c>
    </row>
    <row r="7" spans="1:6" ht="12.75">
      <c r="A7" s="8" t="s">
        <v>8</v>
      </c>
      <c r="B7" s="9"/>
      <c r="C7" s="9"/>
      <c r="D7" s="9"/>
      <c r="E7" s="9"/>
      <c r="F7" s="10">
        <v>1008</v>
      </c>
    </row>
    <row r="8" spans="1:6" ht="12.75">
      <c r="A8" s="8" t="s">
        <v>9</v>
      </c>
      <c r="B8" s="9"/>
      <c r="C8" s="9"/>
      <c r="D8" s="9"/>
      <c r="E8" s="9"/>
      <c r="F8" s="10" t="s">
        <v>10</v>
      </c>
    </row>
    <row r="9" spans="1:6" ht="12.75">
      <c r="A9" s="8" t="s">
        <v>11</v>
      </c>
      <c r="B9" s="9"/>
      <c r="C9" s="9"/>
      <c r="D9" s="9"/>
      <c r="E9" s="9"/>
      <c r="F9" s="10">
        <v>403.2</v>
      </c>
    </row>
    <row r="10" spans="1:6" ht="12.75">
      <c r="A10" s="11" t="s">
        <v>12</v>
      </c>
      <c r="B10" s="12"/>
      <c r="C10" s="12"/>
      <c r="D10" s="12"/>
      <c r="E10" s="12"/>
      <c r="F10" s="13" t="s">
        <v>13</v>
      </c>
    </row>
    <row r="11" spans="1:6" ht="12.75">
      <c r="A11" s="4" t="s">
        <v>14</v>
      </c>
      <c r="B11" s="14"/>
      <c r="C11" s="14"/>
      <c r="D11" s="14"/>
      <c r="E11" s="14"/>
      <c r="F11" s="14">
        <f>403*3.24</f>
        <v>1305.72</v>
      </c>
    </row>
    <row r="12" spans="1:6" ht="12.75">
      <c r="A12" s="132" t="s">
        <v>15</v>
      </c>
      <c r="B12" s="133"/>
      <c r="C12" s="133"/>
      <c r="D12" s="133"/>
      <c r="E12" s="133"/>
      <c r="F12" s="134"/>
    </row>
    <row r="13" spans="1:6" ht="12.75">
      <c r="A13" s="5" t="s">
        <v>2</v>
      </c>
      <c r="B13" s="6"/>
      <c r="C13" s="6"/>
      <c r="D13" s="6"/>
      <c r="E13" s="6"/>
      <c r="F13" s="7">
        <v>112</v>
      </c>
    </row>
    <row r="14" spans="1:6" ht="12.75">
      <c r="A14" s="8" t="s">
        <v>16</v>
      </c>
      <c r="B14" s="9"/>
      <c r="C14" s="9"/>
      <c r="D14" s="9"/>
      <c r="E14" s="9"/>
      <c r="F14" s="10" t="s">
        <v>17</v>
      </c>
    </row>
    <row r="15" spans="1:6" ht="12.75">
      <c r="A15" s="8" t="s">
        <v>11</v>
      </c>
      <c r="B15" s="9"/>
      <c r="C15" s="9"/>
      <c r="D15" s="9"/>
      <c r="E15" s="9"/>
      <c r="F15" s="10">
        <v>67</v>
      </c>
    </row>
    <row r="16" spans="1:6" ht="12.75">
      <c r="A16" s="11" t="s">
        <v>12</v>
      </c>
      <c r="B16" s="12"/>
      <c r="C16" s="12"/>
      <c r="D16" s="12"/>
      <c r="E16" s="12"/>
      <c r="F16" s="13" t="s">
        <v>13</v>
      </c>
    </row>
    <row r="17" spans="1:6" ht="12.75">
      <c r="A17" s="4" t="s">
        <v>14</v>
      </c>
      <c r="B17" s="14"/>
      <c r="C17" s="14"/>
      <c r="D17" s="14"/>
      <c r="E17" s="14"/>
      <c r="F17" s="14">
        <f>+F15*3.24</f>
        <v>217.08</v>
      </c>
    </row>
    <row r="18" spans="1:6" ht="12.75">
      <c r="A18" s="132" t="s">
        <v>4</v>
      </c>
      <c r="B18" s="133"/>
      <c r="C18" s="133"/>
      <c r="D18" s="133"/>
      <c r="E18" s="133"/>
      <c r="F18" s="134"/>
    </row>
    <row r="19" spans="1:6" ht="12.75">
      <c r="A19" s="15" t="s">
        <v>18</v>
      </c>
      <c r="B19" s="16"/>
      <c r="C19" s="16" t="s">
        <v>19</v>
      </c>
      <c r="D19" s="16"/>
      <c r="E19" s="16"/>
      <c r="F19" s="7" t="s">
        <v>20</v>
      </c>
    </row>
    <row r="20" spans="1:6" s="3" customFormat="1" ht="12.75">
      <c r="A20" s="17" t="s">
        <v>21</v>
      </c>
      <c r="B20" s="18"/>
      <c r="C20" s="18" t="s">
        <v>22</v>
      </c>
      <c r="D20" s="18"/>
      <c r="E20" s="18"/>
      <c r="F20" s="10" t="s">
        <v>23</v>
      </c>
    </row>
    <row r="21" spans="1:6" ht="12.75">
      <c r="A21" s="17" t="s">
        <v>24</v>
      </c>
      <c r="B21" s="18"/>
      <c r="C21" s="18">
        <v>40</v>
      </c>
      <c r="D21" s="18"/>
      <c r="E21" s="18"/>
      <c r="F21" s="10" t="s">
        <v>25</v>
      </c>
    </row>
    <row r="22" spans="1:6" ht="12.75">
      <c r="A22" s="19" t="s">
        <v>26</v>
      </c>
      <c r="B22" s="20"/>
      <c r="C22" s="20">
        <v>5</v>
      </c>
      <c r="D22" s="20"/>
      <c r="E22" s="20"/>
      <c r="F22" s="13" t="s">
        <v>27</v>
      </c>
    </row>
    <row r="23" spans="1:6" ht="12.75">
      <c r="A23" s="4" t="s">
        <v>14</v>
      </c>
      <c r="B23" s="21"/>
      <c r="C23" s="21"/>
      <c r="D23" s="21"/>
      <c r="E23" s="21"/>
      <c r="F23" s="14">
        <f>43.2+305+0.18</f>
        <v>348.38</v>
      </c>
    </row>
    <row r="24" spans="1:6" ht="12.75">
      <c r="A24" s="141" t="s">
        <v>28</v>
      </c>
      <c r="B24" s="142"/>
      <c r="C24" s="142"/>
      <c r="D24" s="142"/>
      <c r="E24" s="142"/>
      <c r="F24" s="143"/>
    </row>
    <row r="25" spans="1:6" ht="12.75">
      <c r="A25" s="5" t="s">
        <v>29</v>
      </c>
      <c r="B25" s="6"/>
      <c r="C25" s="6"/>
      <c r="D25" s="6"/>
      <c r="E25" s="6"/>
      <c r="F25" s="7">
        <v>200</v>
      </c>
    </row>
    <row r="26" spans="1:6" ht="12.75">
      <c r="A26" s="8" t="s">
        <v>9</v>
      </c>
      <c r="B26" s="9"/>
      <c r="C26" s="9"/>
      <c r="D26" s="9"/>
      <c r="E26" s="9"/>
      <c r="F26" s="10" t="s">
        <v>30</v>
      </c>
    </row>
    <row r="27" spans="1:6" ht="12.75">
      <c r="A27" s="8" t="s">
        <v>11</v>
      </c>
      <c r="B27" s="9"/>
      <c r="C27" s="9"/>
      <c r="D27" s="9"/>
      <c r="E27" s="9"/>
      <c r="F27" s="10">
        <v>80</v>
      </c>
    </row>
    <row r="28" spans="1:6" ht="12.75">
      <c r="A28" s="11" t="s">
        <v>12</v>
      </c>
      <c r="B28" s="12"/>
      <c r="C28" s="12"/>
      <c r="D28" s="12"/>
      <c r="E28" s="12"/>
      <c r="F28" s="13" t="s">
        <v>13</v>
      </c>
    </row>
    <row r="29" spans="1:6" ht="12.75">
      <c r="A29" s="4" t="s">
        <v>14</v>
      </c>
      <c r="B29" s="14"/>
      <c r="C29" s="14"/>
      <c r="D29" s="14"/>
      <c r="E29" s="14"/>
      <c r="F29" s="14">
        <f>+F27*3.24</f>
        <v>259.20000000000005</v>
      </c>
    </row>
    <row r="30" spans="1:6" ht="12.75">
      <c r="A30" s="132" t="s">
        <v>31</v>
      </c>
      <c r="B30" s="133"/>
      <c r="C30" s="133"/>
      <c r="D30" s="133"/>
      <c r="E30" s="133"/>
      <c r="F30" s="134"/>
    </row>
    <row r="31" spans="1:6" ht="12.75">
      <c r="A31" s="5" t="s">
        <v>32</v>
      </c>
      <c r="B31" s="6"/>
      <c r="C31" s="6"/>
      <c r="D31" s="6"/>
      <c r="E31" s="6"/>
      <c r="F31" s="7">
        <v>140</v>
      </c>
    </row>
    <row r="32" spans="1:6" ht="12.75">
      <c r="A32" s="8" t="s">
        <v>16</v>
      </c>
      <c r="B32" s="9"/>
      <c r="C32" s="9"/>
      <c r="D32" s="9"/>
      <c r="E32" s="9"/>
      <c r="F32" s="10" t="s">
        <v>33</v>
      </c>
    </row>
    <row r="33" spans="1:6" ht="12.75">
      <c r="A33" s="8" t="s">
        <v>11</v>
      </c>
      <c r="B33" s="9"/>
      <c r="C33" s="9"/>
      <c r="D33" s="9"/>
      <c r="E33" s="9"/>
      <c r="F33" s="10">
        <v>70.56</v>
      </c>
    </row>
    <row r="34" spans="1:6" ht="12.75">
      <c r="A34" s="11" t="s">
        <v>12</v>
      </c>
      <c r="B34" s="12"/>
      <c r="C34" s="12"/>
      <c r="D34" s="12"/>
      <c r="E34" s="12"/>
      <c r="F34" s="13" t="s">
        <v>13</v>
      </c>
    </row>
    <row r="35" spans="1:6" ht="12.75">
      <c r="A35" s="4" t="s">
        <v>14</v>
      </c>
      <c r="B35" s="14"/>
      <c r="C35" s="14"/>
      <c r="D35" s="14"/>
      <c r="E35" s="14"/>
      <c r="F35" s="22">
        <f>+F33*3.24</f>
        <v>228.61440000000002</v>
      </c>
    </row>
    <row r="36" spans="1:6" ht="12.75">
      <c r="A36" s="132" t="s">
        <v>34</v>
      </c>
      <c r="B36" s="133"/>
      <c r="C36" s="133"/>
      <c r="D36" s="133"/>
      <c r="E36" s="133"/>
      <c r="F36" s="134"/>
    </row>
    <row r="37" spans="1:6" ht="12.75">
      <c r="A37" s="5" t="s">
        <v>2</v>
      </c>
      <c r="B37" s="6"/>
      <c r="C37" s="6"/>
      <c r="D37" s="6"/>
      <c r="E37" s="6"/>
      <c r="F37" s="7">
        <v>56</v>
      </c>
    </row>
    <row r="38" spans="1:6" ht="12.75">
      <c r="A38" s="8" t="s">
        <v>16</v>
      </c>
      <c r="B38" s="9"/>
      <c r="C38" s="9"/>
      <c r="D38" s="9"/>
      <c r="E38" s="9"/>
      <c r="F38" s="10" t="s">
        <v>35</v>
      </c>
    </row>
    <row r="39" spans="1:6" ht="12.75">
      <c r="A39" s="8" t="s">
        <v>11</v>
      </c>
      <c r="B39" s="9"/>
      <c r="C39" s="9"/>
      <c r="D39" s="9"/>
      <c r="E39" s="9"/>
      <c r="F39" s="10">
        <v>33.6</v>
      </c>
    </row>
    <row r="40" spans="1:6" ht="12.75">
      <c r="A40" s="11" t="s">
        <v>12</v>
      </c>
      <c r="B40" s="12"/>
      <c r="C40" s="12"/>
      <c r="D40" s="12"/>
      <c r="E40" s="12"/>
      <c r="F40" s="13" t="s">
        <v>13</v>
      </c>
    </row>
    <row r="41" spans="1:6" ht="12.75">
      <c r="A41" s="4" t="s">
        <v>14</v>
      </c>
      <c r="B41" s="14"/>
      <c r="C41" s="14"/>
      <c r="D41" s="14"/>
      <c r="E41" s="14"/>
      <c r="F41" s="22">
        <f>+F39*3.24</f>
        <v>108.86400000000002</v>
      </c>
    </row>
    <row r="42" spans="1:6" ht="12.75">
      <c r="A42" s="132" t="s">
        <v>36</v>
      </c>
      <c r="B42" s="133"/>
      <c r="C42" s="133"/>
      <c r="D42" s="133"/>
      <c r="E42" s="133"/>
      <c r="F42" s="134"/>
    </row>
    <row r="43" spans="1:6" ht="12.75">
      <c r="A43" s="5" t="s">
        <v>2</v>
      </c>
      <c r="B43" s="6"/>
      <c r="C43" s="6"/>
      <c r="D43" s="6"/>
      <c r="E43" s="6"/>
      <c r="F43" s="7">
        <v>180</v>
      </c>
    </row>
    <row r="44" spans="1:6" ht="12.75">
      <c r="A44" s="8" t="s">
        <v>16</v>
      </c>
      <c r="B44" s="9"/>
      <c r="C44" s="9"/>
      <c r="D44" s="9"/>
      <c r="E44" s="9"/>
      <c r="F44" s="10" t="s">
        <v>35</v>
      </c>
    </row>
    <row r="45" spans="1:6" ht="12.75">
      <c r="A45" s="8" t="s">
        <v>11</v>
      </c>
      <c r="B45" s="9"/>
      <c r="C45" s="9"/>
      <c r="D45" s="9"/>
      <c r="E45" s="9"/>
      <c r="F45" s="10">
        <v>108</v>
      </c>
    </row>
    <row r="46" spans="1:6" ht="12.75">
      <c r="A46" s="11" t="s">
        <v>12</v>
      </c>
      <c r="B46" s="12"/>
      <c r="C46" s="12"/>
      <c r="D46" s="12"/>
      <c r="E46" s="12"/>
      <c r="F46" s="13" t="s">
        <v>13</v>
      </c>
    </row>
    <row r="47" spans="1:6" ht="12.75">
      <c r="A47" s="4" t="s">
        <v>14</v>
      </c>
      <c r="B47" s="14"/>
      <c r="C47" s="14"/>
      <c r="D47" s="14"/>
      <c r="E47" s="14"/>
      <c r="F47" s="14">
        <f>+F45*3.24</f>
        <v>349.92</v>
      </c>
    </row>
    <row r="48" spans="1:6" ht="12.75">
      <c r="A48" s="141" t="s">
        <v>37</v>
      </c>
      <c r="B48" s="142"/>
      <c r="C48" s="142"/>
      <c r="D48" s="142"/>
      <c r="E48" s="142"/>
      <c r="F48" s="143"/>
    </row>
    <row r="49" spans="1:6" ht="12.75">
      <c r="A49" s="23"/>
      <c r="B49" s="24" t="s">
        <v>2</v>
      </c>
      <c r="C49" s="24" t="s">
        <v>38</v>
      </c>
      <c r="D49" s="24"/>
      <c r="E49" s="24"/>
      <c r="F49" s="24" t="s">
        <v>0</v>
      </c>
    </row>
    <row r="50" spans="1:6" ht="12.75">
      <c r="A50" s="15" t="s">
        <v>39</v>
      </c>
      <c r="B50" s="16">
        <v>34</v>
      </c>
      <c r="C50" s="16" t="s">
        <v>40</v>
      </c>
      <c r="D50" s="16"/>
      <c r="E50" s="16"/>
      <c r="F50" s="7" t="s">
        <v>41</v>
      </c>
    </row>
    <row r="51" spans="1:6" ht="12.75">
      <c r="A51" s="17" t="s">
        <v>42</v>
      </c>
      <c r="B51" s="18">
        <v>8</v>
      </c>
      <c r="C51" s="18" t="s">
        <v>43</v>
      </c>
      <c r="D51" s="18"/>
      <c r="E51" s="18"/>
      <c r="F51" s="10" t="s">
        <v>44</v>
      </c>
    </row>
    <row r="52" spans="1:6" ht="12.75">
      <c r="A52" s="17" t="s">
        <v>45</v>
      </c>
      <c r="B52" s="18">
        <v>8</v>
      </c>
      <c r="C52" s="18" t="s">
        <v>46</v>
      </c>
      <c r="D52" s="18"/>
      <c r="E52" s="18"/>
      <c r="F52" s="10" t="s">
        <v>47</v>
      </c>
    </row>
    <row r="53" spans="1:6" ht="12.75">
      <c r="A53" s="17" t="s">
        <v>48</v>
      </c>
      <c r="B53" s="18">
        <v>8</v>
      </c>
      <c r="C53" s="18" t="s">
        <v>49</v>
      </c>
      <c r="D53" s="18"/>
      <c r="E53" s="18"/>
      <c r="F53" s="10" t="s">
        <v>50</v>
      </c>
    </row>
    <row r="54" spans="1:6" ht="12.75">
      <c r="A54" s="17" t="s">
        <v>51</v>
      </c>
      <c r="B54" s="18">
        <v>46</v>
      </c>
      <c r="C54" s="18" t="s">
        <v>52</v>
      </c>
      <c r="D54" s="18"/>
      <c r="E54" s="18"/>
      <c r="F54" s="10" t="s">
        <v>53</v>
      </c>
    </row>
    <row r="55" spans="1:6" ht="12.75">
      <c r="A55" s="19" t="s">
        <v>54</v>
      </c>
      <c r="B55" s="20">
        <v>8</v>
      </c>
      <c r="C55" s="20" t="s">
        <v>55</v>
      </c>
      <c r="D55" s="20"/>
      <c r="E55" s="20"/>
      <c r="F55" s="13" t="s">
        <v>56</v>
      </c>
    </row>
    <row r="56" spans="1:6" ht="12.75">
      <c r="A56" s="4" t="s">
        <v>14</v>
      </c>
      <c r="B56" s="21"/>
      <c r="C56" s="21"/>
      <c r="D56" s="21"/>
      <c r="E56" s="21"/>
      <c r="F56" s="21">
        <f>267.93+48.47+24.82+23.36+75.18+51.26</f>
        <v>491.02</v>
      </c>
    </row>
    <row r="57" spans="1:6" ht="12.75">
      <c r="A57" s="129" t="s">
        <v>57</v>
      </c>
      <c r="B57" s="130"/>
      <c r="C57" s="130"/>
      <c r="D57" s="130"/>
      <c r="E57" s="130"/>
      <c r="F57" s="131"/>
    </row>
    <row r="58" spans="1:6" ht="12.75">
      <c r="A58" s="5" t="s">
        <v>58</v>
      </c>
      <c r="B58" s="6"/>
      <c r="C58" s="6"/>
      <c r="D58" s="6"/>
      <c r="E58" s="6"/>
      <c r="F58" s="7">
        <v>2177</v>
      </c>
    </row>
    <row r="59" spans="1:6" ht="12.75">
      <c r="A59" s="11" t="s">
        <v>59</v>
      </c>
      <c r="B59" s="12"/>
      <c r="C59" s="12"/>
      <c r="D59" s="12"/>
      <c r="E59" s="12"/>
      <c r="F59" s="13" t="s">
        <v>60</v>
      </c>
    </row>
    <row r="60" spans="1:6" ht="12.75">
      <c r="A60" s="4" t="s">
        <v>14</v>
      </c>
      <c r="B60" s="14"/>
      <c r="C60" s="14"/>
      <c r="D60" s="14"/>
      <c r="E60" s="14"/>
      <c r="F60" s="14">
        <f>+F58*0.8</f>
        <v>1741.6000000000001</v>
      </c>
    </row>
    <row r="61" spans="1:6" ht="12.75">
      <c r="A61" s="132" t="s">
        <v>61</v>
      </c>
      <c r="B61" s="133"/>
      <c r="C61" s="133"/>
      <c r="D61" s="133"/>
      <c r="E61" s="133"/>
      <c r="F61" s="134"/>
    </row>
    <row r="62" spans="1:6" ht="12.75">
      <c r="A62" s="5" t="s">
        <v>58</v>
      </c>
      <c r="B62" s="6"/>
      <c r="C62" s="6"/>
      <c r="D62" s="6"/>
      <c r="E62" s="6"/>
      <c r="F62" s="7">
        <v>1621</v>
      </c>
    </row>
    <row r="63" spans="1:6" ht="12.75">
      <c r="A63" s="11" t="s">
        <v>59</v>
      </c>
      <c r="B63" s="12"/>
      <c r="C63" s="12"/>
      <c r="D63" s="12"/>
      <c r="E63" s="12"/>
      <c r="F63" s="13" t="s">
        <v>62</v>
      </c>
    </row>
    <row r="64" spans="1:6" ht="12.75">
      <c r="A64" s="4" t="s">
        <v>14</v>
      </c>
      <c r="B64" s="14"/>
      <c r="C64" s="14"/>
      <c r="D64" s="14"/>
      <c r="E64" s="14"/>
      <c r="F64" s="14">
        <f>+F62*0.44</f>
        <v>713.24</v>
      </c>
    </row>
    <row r="65" spans="1:6" ht="12.75">
      <c r="A65" s="132" t="s">
        <v>63</v>
      </c>
      <c r="B65" s="133"/>
      <c r="C65" s="133"/>
      <c r="D65" s="133"/>
      <c r="E65" s="133"/>
      <c r="F65" s="134"/>
    </row>
    <row r="66" spans="1:6" ht="12.75">
      <c r="A66" s="5" t="s">
        <v>58</v>
      </c>
      <c r="B66" s="6"/>
      <c r="C66" s="6"/>
      <c r="D66" s="45"/>
      <c r="E66" s="6"/>
      <c r="F66" s="7">
        <v>1500</v>
      </c>
    </row>
    <row r="67" spans="1:6" ht="12.75">
      <c r="A67" s="11" t="s">
        <v>59</v>
      </c>
      <c r="B67" s="12"/>
      <c r="C67" s="12"/>
      <c r="D67" s="12"/>
      <c r="E67" s="12"/>
      <c r="F67" s="13" t="s">
        <v>64</v>
      </c>
    </row>
    <row r="68" spans="1:6" ht="12.75">
      <c r="A68" s="4" t="s">
        <v>14</v>
      </c>
      <c r="B68" s="14"/>
      <c r="C68" s="14"/>
      <c r="D68" s="14"/>
      <c r="E68" s="14"/>
      <c r="F68" s="14">
        <f>+F66*0.56</f>
        <v>840.0000000000001</v>
      </c>
    </row>
    <row r="69" spans="1:6" ht="12.75">
      <c r="A69" s="132" t="s">
        <v>65</v>
      </c>
      <c r="B69" s="133"/>
      <c r="C69" s="133"/>
      <c r="D69" s="133"/>
      <c r="E69" s="133"/>
      <c r="F69" s="134"/>
    </row>
    <row r="70" spans="1:6" ht="12.75">
      <c r="A70" s="5"/>
      <c r="B70" s="6" t="s">
        <v>66</v>
      </c>
      <c r="C70" s="6" t="s">
        <v>67</v>
      </c>
      <c r="D70" s="6"/>
      <c r="E70" s="6"/>
      <c r="F70" s="7" t="s">
        <v>0</v>
      </c>
    </row>
    <row r="71" spans="1:6" ht="12.75">
      <c r="A71" s="8" t="s">
        <v>68</v>
      </c>
      <c r="B71" s="9">
        <v>50</v>
      </c>
      <c r="C71" s="9" t="s">
        <v>69</v>
      </c>
      <c r="D71" s="9"/>
      <c r="E71" s="9"/>
      <c r="F71" s="10" t="s">
        <v>70</v>
      </c>
    </row>
    <row r="72" spans="1:6" ht="12.75">
      <c r="A72" s="8" t="s">
        <v>71</v>
      </c>
      <c r="B72" s="9">
        <v>25</v>
      </c>
      <c r="C72" s="9" t="s">
        <v>69</v>
      </c>
      <c r="D72" s="9"/>
      <c r="E72" s="9"/>
      <c r="F72" s="10" t="s">
        <v>72</v>
      </c>
    </row>
    <row r="73" spans="1:6" ht="12.75">
      <c r="A73" s="11" t="s">
        <v>73</v>
      </c>
      <c r="B73" s="12">
        <v>50</v>
      </c>
      <c r="C73" s="12" t="s">
        <v>69</v>
      </c>
      <c r="D73" s="12"/>
      <c r="E73" s="12"/>
      <c r="F73" s="13" t="s">
        <v>74</v>
      </c>
    </row>
    <row r="74" spans="1:6" ht="12.75">
      <c r="A74" s="4" t="s">
        <v>14</v>
      </c>
      <c r="B74" s="14"/>
      <c r="C74" s="14"/>
      <c r="D74" s="14"/>
      <c r="E74" s="14"/>
      <c r="F74" s="14">
        <f>84.15+42.07+84.15</f>
        <v>210.37</v>
      </c>
    </row>
    <row r="75" spans="1:6" ht="12.75">
      <c r="A75" s="132" t="s">
        <v>75</v>
      </c>
      <c r="B75" s="133"/>
      <c r="C75" s="133"/>
      <c r="D75" s="133"/>
      <c r="E75" s="133"/>
      <c r="F75" s="134"/>
    </row>
    <row r="76" spans="1:6" ht="12.75">
      <c r="A76" s="5"/>
      <c r="B76" s="6" t="s">
        <v>76</v>
      </c>
      <c r="C76" s="6" t="s">
        <v>77</v>
      </c>
      <c r="D76" s="6"/>
      <c r="E76" s="6"/>
      <c r="F76" s="7" t="s">
        <v>0</v>
      </c>
    </row>
    <row r="77" spans="1:6" ht="12.75">
      <c r="A77" s="11" t="s">
        <v>78</v>
      </c>
      <c r="B77" s="12">
        <v>420</v>
      </c>
      <c r="C77" s="12" t="s">
        <v>79</v>
      </c>
      <c r="D77" s="12"/>
      <c r="E77" s="12"/>
      <c r="F77" s="13" t="s">
        <v>80</v>
      </c>
    </row>
    <row r="78" spans="1:6" ht="12.75">
      <c r="A78" s="4" t="s">
        <v>14</v>
      </c>
      <c r="B78" s="25"/>
      <c r="C78" s="25"/>
      <c r="D78" s="25"/>
      <c r="E78" s="25"/>
      <c r="F78" s="26">
        <v>27.6</v>
      </c>
    </row>
    <row r="79" spans="1:6" ht="12.75">
      <c r="A79" s="5"/>
      <c r="B79" s="6"/>
      <c r="C79" s="6"/>
      <c r="D79" s="6"/>
      <c r="E79" s="6"/>
      <c r="F79" s="27"/>
    </row>
    <row r="80" spans="1:6" ht="12.75">
      <c r="A80" s="8" t="s">
        <v>81</v>
      </c>
      <c r="B80" s="9"/>
      <c r="C80" s="9"/>
      <c r="D80" s="9"/>
      <c r="E80" s="9"/>
      <c r="F80" s="10">
        <v>6841.25</v>
      </c>
    </row>
    <row r="81" spans="1:6" ht="12.75">
      <c r="A81" s="11" t="s">
        <v>1</v>
      </c>
      <c r="B81" s="12"/>
      <c r="C81" s="12"/>
      <c r="D81" s="12"/>
      <c r="E81" s="12"/>
      <c r="F81" s="13">
        <v>2700</v>
      </c>
    </row>
    <row r="82" spans="1:6" ht="12.75">
      <c r="A82" s="49" t="s">
        <v>82</v>
      </c>
      <c r="B82" s="46"/>
      <c r="C82" s="46"/>
      <c r="D82" s="46"/>
      <c r="E82" s="46"/>
      <c r="F82" s="46">
        <f>6841.25+2700</f>
        <v>9541.25</v>
      </c>
    </row>
    <row r="83" spans="2:6" ht="12.75">
      <c r="B83" s="28"/>
      <c r="C83" s="28"/>
      <c r="D83" s="28"/>
      <c r="E83" s="28"/>
      <c r="F83" s="28"/>
    </row>
    <row r="84" spans="2:6" ht="12.75">
      <c r="B84" s="28"/>
      <c r="C84" s="28"/>
      <c r="D84" s="28"/>
      <c r="E84" s="28"/>
      <c r="F84" s="28"/>
    </row>
    <row r="85" spans="1:6" ht="12.75">
      <c r="A85" s="120" t="s">
        <v>5</v>
      </c>
      <c r="B85" s="121"/>
      <c r="C85" s="121"/>
      <c r="D85" s="121"/>
      <c r="E85" s="121"/>
      <c r="F85" s="122"/>
    </row>
    <row r="86" spans="1:6" ht="12.75">
      <c r="A86" s="123" t="s">
        <v>83</v>
      </c>
      <c r="B86" s="124"/>
      <c r="C86" s="124"/>
      <c r="D86" s="124"/>
      <c r="E86" s="124"/>
      <c r="F86" s="125"/>
    </row>
    <row r="87" spans="1:6" ht="25.5">
      <c r="A87" s="47"/>
      <c r="B87" s="48" t="s">
        <v>8</v>
      </c>
      <c r="C87" s="48" t="s">
        <v>9</v>
      </c>
      <c r="D87" s="48" t="s">
        <v>11</v>
      </c>
      <c r="E87" s="48" t="s">
        <v>12</v>
      </c>
      <c r="F87" s="48" t="s">
        <v>84</v>
      </c>
    </row>
    <row r="88" spans="1:6" ht="25.5">
      <c r="A88" s="15" t="s">
        <v>85</v>
      </c>
      <c r="B88" s="16">
        <v>936</v>
      </c>
      <c r="C88" s="16" t="s">
        <v>86</v>
      </c>
      <c r="D88" s="16">
        <v>936</v>
      </c>
      <c r="E88" s="16" t="s">
        <v>13</v>
      </c>
      <c r="F88" s="29" t="s">
        <v>87</v>
      </c>
    </row>
    <row r="89" spans="1:6" ht="25.5">
      <c r="A89" s="17" t="s">
        <v>88</v>
      </c>
      <c r="B89" s="18">
        <v>322</v>
      </c>
      <c r="C89" s="18" t="s">
        <v>89</v>
      </c>
      <c r="D89" s="18">
        <v>257.6</v>
      </c>
      <c r="E89" s="18" t="s">
        <v>13</v>
      </c>
      <c r="F89" s="30" t="s">
        <v>90</v>
      </c>
    </row>
    <row r="90" spans="1:6" ht="25.5">
      <c r="A90" s="17" t="s">
        <v>91</v>
      </c>
      <c r="B90" s="18">
        <v>330</v>
      </c>
      <c r="C90" s="18" t="s">
        <v>92</v>
      </c>
      <c r="D90" s="18">
        <v>58.08</v>
      </c>
      <c r="E90" s="18" t="s">
        <v>13</v>
      </c>
      <c r="F90" s="30" t="s">
        <v>93</v>
      </c>
    </row>
    <row r="91" spans="1:6" ht="25.5">
      <c r="A91" s="19" t="s">
        <v>94</v>
      </c>
      <c r="B91" s="20">
        <v>600</v>
      </c>
      <c r="C91" s="20" t="s">
        <v>95</v>
      </c>
      <c r="D91" s="20">
        <v>81.6</v>
      </c>
      <c r="E91" s="20" t="s">
        <v>13</v>
      </c>
      <c r="F91" s="31" t="s">
        <v>96</v>
      </c>
    </row>
    <row r="92" spans="1:6" ht="12.75">
      <c r="A92" s="32" t="s">
        <v>97</v>
      </c>
      <c r="B92" s="33"/>
      <c r="C92" s="33"/>
      <c r="D92" s="33"/>
      <c r="E92" s="33"/>
      <c r="F92" s="33">
        <f>3032.64+834.62+188.18+264.38</f>
        <v>4319.82</v>
      </c>
    </row>
    <row r="93" spans="1:6" ht="12.75">
      <c r="A93" s="15" t="s">
        <v>98</v>
      </c>
      <c r="B93" s="16"/>
      <c r="C93" s="16"/>
      <c r="D93" s="16"/>
      <c r="E93" s="16"/>
      <c r="F93" s="29"/>
    </row>
    <row r="94" spans="1:6" ht="12.75">
      <c r="A94" s="17" t="s">
        <v>58</v>
      </c>
      <c r="B94" s="18"/>
      <c r="C94" s="18"/>
      <c r="D94" s="18"/>
      <c r="E94" s="18"/>
      <c r="F94" s="30">
        <v>1281</v>
      </c>
    </row>
    <row r="95" spans="1:6" ht="12.75">
      <c r="A95" s="19" t="s">
        <v>59</v>
      </c>
      <c r="B95" s="20"/>
      <c r="C95" s="20"/>
      <c r="D95" s="20"/>
      <c r="E95" s="20"/>
      <c r="F95" s="31" t="s">
        <v>99</v>
      </c>
    </row>
    <row r="96" spans="1:6" ht="12.75">
      <c r="A96" s="32" t="s">
        <v>14</v>
      </c>
      <c r="B96" s="33"/>
      <c r="C96" s="33"/>
      <c r="D96" s="33"/>
      <c r="E96" s="33"/>
      <c r="F96" s="33">
        <f>+F94*0.74</f>
        <v>947.9399999999999</v>
      </c>
    </row>
    <row r="97" spans="1:6" ht="12.75">
      <c r="A97" s="15" t="s">
        <v>100</v>
      </c>
      <c r="B97" s="16"/>
      <c r="C97" s="16"/>
      <c r="D97" s="16"/>
      <c r="E97" s="16"/>
      <c r="F97" s="29"/>
    </row>
    <row r="98" spans="1:6" ht="12.75">
      <c r="A98" s="17" t="s">
        <v>58</v>
      </c>
      <c r="B98" s="18"/>
      <c r="C98" s="18"/>
      <c r="D98" s="18"/>
      <c r="E98" s="18"/>
      <c r="F98" s="30">
        <v>1080</v>
      </c>
    </row>
    <row r="99" spans="1:6" ht="12.75">
      <c r="A99" s="19" t="s">
        <v>59</v>
      </c>
      <c r="B99" s="20"/>
      <c r="C99" s="20"/>
      <c r="D99" s="20"/>
      <c r="E99" s="20"/>
      <c r="F99" s="31" t="s">
        <v>101</v>
      </c>
    </row>
    <row r="100" spans="1:6" ht="12.75">
      <c r="A100" s="32" t="s">
        <v>14</v>
      </c>
      <c r="B100" s="21"/>
      <c r="C100" s="21"/>
      <c r="D100" s="21"/>
      <c r="E100" s="21"/>
      <c r="F100" s="21">
        <f>+F98*1.33</f>
        <v>1436.4</v>
      </c>
    </row>
    <row r="101" spans="1:6" ht="12.75">
      <c r="A101" s="34" t="s">
        <v>102</v>
      </c>
      <c r="B101" s="138"/>
      <c r="C101" s="139"/>
      <c r="D101" s="139"/>
      <c r="E101" s="140"/>
      <c r="F101" s="35">
        <f>+F92+F96+F100</f>
        <v>6704.16</v>
      </c>
    </row>
    <row r="102" spans="1:6" ht="12.75">
      <c r="A102" s="120" t="s">
        <v>103</v>
      </c>
      <c r="B102" s="121"/>
      <c r="C102" s="121"/>
      <c r="D102" s="121"/>
      <c r="E102" s="121"/>
      <c r="F102" s="122"/>
    </row>
    <row r="103" spans="1:6" ht="12.75">
      <c r="A103" s="123" t="s">
        <v>104</v>
      </c>
      <c r="B103" s="124"/>
      <c r="C103" s="124"/>
      <c r="D103" s="124"/>
      <c r="E103" s="124"/>
      <c r="F103" s="125"/>
    </row>
    <row r="104" spans="1:6" ht="25.5">
      <c r="A104" s="47"/>
      <c r="B104" s="48" t="s">
        <v>8</v>
      </c>
      <c r="C104" s="48" t="s">
        <v>9</v>
      </c>
      <c r="D104" s="48" t="s">
        <v>11</v>
      </c>
      <c r="E104" s="48" t="s">
        <v>12</v>
      </c>
      <c r="F104" s="48" t="s">
        <v>84</v>
      </c>
    </row>
    <row r="105" spans="1:6" ht="12.75">
      <c r="A105" s="5" t="s">
        <v>85</v>
      </c>
      <c r="B105" s="6">
        <v>34</v>
      </c>
      <c r="C105" s="6" t="s">
        <v>86</v>
      </c>
      <c r="D105" s="6">
        <v>34</v>
      </c>
      <c r="E105" s="6" t="s">
        <v>13</v>
      </c>
      <c r="F105" s="7" t="s">
        <v>105</v>
      </c>
    </row>
    <row r="106" spans="1:6" ht="12.75">
      <c r="A106" s="11" t="s">
        <v>88</v>
      </c>
      <c r="B106" s="12">
        <v>28</v>
      </c>
      <c r="C106" s="12" t="s">
        <v>106</v>
      </c>
      <c r="D106" s="12">
        <v>11.2</v>
      </c>
      <c r="E106" s="12" t="s">
        <v>13</v>
      </c>
      <c r="F106" s="13" t="s">
        <v>107</v>
      </c>
    </row>
    <row r="107" spans="1:6" ht="12.75">
      <c r="A107" s="4" t="s">
        <v>108</v>
      </c>
      <c r="B107" s="14"/>
      <c r="C107" s="14"/>
      <c r="D107" s="14"/>
      <c r="E107" s="14"/>
      <c r="F107" s="22">
        <f>110.16+36.28</f>
        <v>146.44</v>
      </c>
    </row>
    <row r="108" spans="1:6" ht="12.75">
      <c r="A108" s="1" t="s">
        <v>98</v>
      </c>
      <c r="B108" s="36"/>
      <c r="C108" s="36"/>
      <c r="D108" s="36"/>
      <c r="E108" s="36"/>
      <c r="F108" s="42"/>
    </row>
    <row r="109" spans="1:6" ht="12.75">
      <c r="A109" s="1" t="s">
        <v>58</v>
      </c>
      <c r="B109" s="36"/>
      <c r="C109" s="36"/>
      <c r="D109" s="36"/>
      <c r="E109" s="36"/>
      <c r="F109" s="42">
        <v>53.2</v>
      </c>
    </row>
    <row r="110" spans="1:6" ht="12.75">
      <c r="A110" s="1" t="s">
        <v>59</v>
      </c>
      <c r="B110" s="36"/>
      <c r="C110" s="36"/>
      <c r="D110" s="36"/>
      <c r="E110" s="36"/>
      <c r="F110" s="42" t="s">
        <v>99</v>
      </c>
    </row>
    <row r="111" spans="1:6" ht="12.75">
      <c r="A111" s="2" t="s">
        <v>108</v>
      </c>
      <c r="B111" s="26"/>
      <c r="C111" s="26"/>
      <c r="D111" s="26"/>
      <c r="E111" s="26"/>
      <c r="F111" s="43">
        <f>+F109*0.74</f>
        <v>39.368</v>
      </c>
    </row>
    <row r="112" spans="1:6" ht="12.75">
      <c r="A112" s="2" t="s">
        <v>84</v>
      </c>
      <c r="B112" s="26"/>
      <c r="C112" s="26"/>
      <c r="D112" s="26"/>
      <c r="E112" s="26"/>
      <c r="F112" s="43">
        <f>+F111+F107</f>
        <v>185.808</v>
      </c>
    </row>
    <row r="113" spans="1:6" ht="12.75">
      <c r="A113" s="126"/>
      <c r="B113" s="127"/>
      <c r="C113" s="127"/>
      <c r="D113" s="127"/>
      <c r="E113" s="127"/>
      <c r="F113" s="128"/>
    </row>
    <row r="114" spans="1:6" ht="12.75">
      <c r="A114" s="50" t="s">
        <v>109</v>
      </c>
      <c r="B114" s="51"/>
      <c r="C114" s="51"/>
      <c r="D114" s="51"/>
      <c r="E114" s="51"/>
      <c r="F114" s="52">
        <f>+F112+F101</f>
        <v>6889.968</v>
      </c>
    </row>
    <row r="115" spans="1:6" ht="12.75">
      <c r="A115" s="53" t="s">
        <v>110</v>
      </c>
      <c r="B115" s="54"/>
      <c r="C115" s="54"/>
      <c r="D115" s="54"/>
      <c r="E115" s="54"/>
      <c r="F115" s="55">
        <v>900</v>
      </c>
    </row>
    <row r="116" spans="1:6" ht="12.75">
      <c r="A116" s="135"/>
      <c r="B116" s="136"/>
      <c r="C116" s="136"/>
      <c r="D116" s="136"/>
      <c r="E116" s="136"/>
      <c r="F116" s="137"/>
    </row>
    <row r="117" spans="1:6" s="41" customFormat="1" ht="12.75">
      <c r="A117" s="56" t="s">
        <v>14</v>
      </c>
      <c r="B117" s="57"/>
      <c r="C117" s="57"/>
      <c r="D117" s="57"/>
      <c r="E117" s="57"/>
      <c r="F117" s="57">
        <f>+F114+F115</f>
        <v>7789.968</v>
      </c>
    </row>
    <row r="120" spans="1:6" ht="12.75">
      <c r="A120" s="58" t="s">
        <v>97</v>
      </c>
      <c r="B120" s="58"/>
      <c r="C120" s="58"/>
      <c r="D120" s="58"/>
      <c r="E120" s="58"/>
      <c r="F120" s="58">
        <f>+F117+F82</f>
        <v>17331.218</v>
      </c>
    </row>
    <row r="123" ht="12.75">
      <c r="A123" s="116" t="s">
        <v>317</v>
      </c>
    </row>
    <row r="124" ht="12.75">
      <c r="A124" s="117"/>
    </row>
    <row r="125" ht="12.75">
      <c r="A125" s="117" t="s">
        <v>318</v>
      </c>
    </row>
  </sheetData>
  <mergeCells count="21">
    <mergeCell ref="A42:F42"/>
    <mergeCell ref="A48:F48"/>
    <mergeCell ref="A4:F4"/>
    <mergeCell ref="A12:F12"/>
    <mergeCell ref="A18:F18"/>
    <mergeCell ref="A24:F24"/>
    <mergeCell ref="A116:F116"/>
    <mergeCell ref="A75:F75"/>
    <mergeCell ref="A85:F85"/>
    <mergeCell ref="A86:F86"/>
    <mergeCell ref="B101:E101"/>
    <mergeCell ref="A3:F3"/>
    <mergeCell ref="A102:F102"/>
    <mergeCell ref="A103:F103"/>
    <mergeCell ref="A113:F113"/>
    <mergeCell ref="A57:F57"/>
    <mergeCell ref="A61:F61"/>
    <mergeCell ref="A65:F65"/>
    <mergeCell ref="A69:F69"/>
    <mergeCell ref="A30:F30"/>
    <mergeCell ref="A36:F36"/>
  </mergeCells>
  <hyperlinks>
    <hyperlink ref="A123" r:id="rId1" display="http://www.carpinteriaintegral.com/"/>
  </hyperlinks>
  <printOptions/>
  <pageMargins left="0.75" right="0.75" top="1" bottom="1" header="0" footer="0"/>
  <pageSetup fitToHeight="2" fitToWidth="1" horizontalDpi="600" verticalDpi="600" orientation="portrait" paperSize="9" scale="6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22">
      <selection activeCell="D1" sqref="A1:F50"/>
    </sheetView>
  </sheetViews>
  <sheetFormatPr defaultColWidth="11.421875" defaultRowHeight="12.75"/>
  <cols>
    <col min="1" max="1" width="38.28125" style="0" bestFit="1" customWidth="1"/>
    <col min="4" max="4" width="14.57421875" style="0" customWidth="1"/>
  </cols>
  <sheetData>
    <row r="1" spans="1:3" ht="12.75">
      <c r="A1" s="58" t="s">
        <v>321</v>
      </c>
      <c r="B1" s="118"/>
      <c r="C1" s="118"/>
    </row>
    <row r="3" spans="1:4" ht="12.75">
      <c r="A3" s="141" t="s">
        <v>112</v>
      </c>
      <c r="B3" s="142"/>
      <c r="C3" s="142"/>
      <c r="D3" s="143"/>
    </row>
    <row r="4" spans="1:4" ht="12.75">
      <c r="A4" s="59"/>
      <c r="B4" s="59" t="s">
        <v>2</v>
      </c>
      <c r="C4" s="59" t="s">
        <v>38</v>
      </c>
      <c r="D4" s="59" t="s">
        <v>0</v>
      </c>
    </row>
    <row r="5" spans="1:4" ht="12.75">
      <c r="A5" s="36" t="s">
        <v>113</v>
      </c>
      <c r="B5" s="36">
        <v>52</v>
      </c>
      <c r="C5" s="36" t="s">
        <v>114</v>
      </c>
      <c r="D5" s="36">
        <f>+B5*3.86</f>
        <v>200.72</v>
      </c>
    </row>
    <row r="6" spans="1:4" ht="12.75">
      <c r="A6" s="36" t="s">
        <v>115</v>
      </c>
      <c r="B6" s="36">
        <v>53</v>
      </c>
      <c r="C6" s="36" t="s">
        <v>116</v>
      </c>
      <c r="D6" s="36">
        <f>+B6*0.22</f>
        <v>11.66</v>
      </c>
    </row>
    <row r="7" spans="1:4" ht="12.75">
      <c r="A7" s="36" t="s">
        <v>117</v>
      </c>
      <c r="B7" s="36">
        <v>52</v>
      </c>
      <c r="C7" s="36" t="s">
        <v>118</v>
      </c>
      <c r="D7" s="36">
        <f>+B7*0.42</f>
        <v>21.84</v>
      </c>
    </row>
    <row r="8" spans="1:4" ht="12.75">
      <c r="A8" s="36" t="s">
        <v>119</v>
      </c>
      <c r="B8" s="36">
        <v>1</v>
      </c>
      <c r="C8" s="36" t="s">
        <v>120</v>
      </c>
      <c r="D8" s="36">
        <f>+B8*0.34</f>
        <v>0.34</v>
      </c>
    </row>
    <row r="9" spans="1:4" ht="12.75">
      <c r="A9" s="36" t="s">
        <v>121</v>
      </c>
      <c r="B9" s="36">
        <v>1</v>
      </c>
      <c r="C9" s="36" t="s">
        <v>62</v>
      </c>
      <c r="D9" s="36">
        <f>+B9*0.44</f>
        <v>0.44</v>
      </c>
    </row>
    <row r="10" spans="1:4" ht="12.75">
      <c r="A10" s="36" t="s">
        <v>122</v>
      </c>
      <c r="B10" s="36">
        <v>28</v>
      </c>
      <c r="C10" s="36" t="s">
        <v>123</v>
      </c>
      <c r="D10" s="36">
        <f>+B10*0.24</f>
        <v>6.72</v>
      </c>
    </row>
    <row r="11" spans="1:4" ht="12.75">
      <c r="A11" s="36" t="s">
        <v>124</v>
      </c>
      <c r="B11" s="36">
        <v>6</v>
      </c>
      <c r="C11" s="36" t="s">
        <v>125</v>
      </c>
      <c r="D11" s="36">
        <f>+B11*0.83</f>
        <v>4.9799999999999995</v>
      </c>
    </row>
    <row r="12" spans="1:4" ht="12.75">
      <c r="A12" s="36" t="s">
        <v>126</v>
      </c>
      <c r="B12" s="36">
        <v>6</v>
      </c>
      <c r="C12" s="36" t="s">
        <v>127</v>
      </c>
      <c r="D12" s="36">
        <f>+B12*0.35</f>
        <v>2.0999999999999996</v>
      </c>
    </row>
    <row r="13" spans="1:4" ht="12.75">
      <c r="A13" s="36" t="s">
        <v>128</v>
      </c>
      <c r="B13" s="36">
        <v>18</v>
      </c>
      <c r="C13" s="36" t="s">
        <v>127</v>
      </c>
      <c r="D13" s="36">
        <f>+B13*0.35</f>
        <v>6.3</v>
      </c>
    </row>
    <row r="14" spans="1:4" ht="12.75">
      <c r="A14" s="36" t="s">
        <v>129</v>
      </c>
      <c r="B14" s="36">
        <v>104</v>
      </c>
      <c r="C14" s="36" t="s">
        <v>130</v>
      </c>
      <c r="D14" s="36">
        <f>+B14*0.48</f>
        <v>49.92</v>
      </c>
    </row>
    <row r="15" spans="1:4" ht="12.75">
      <c r="A15" s="36" t="s">
        <v>131</v>
      </c>
      <c r="B15" s="36">
        <v>12</v>
      </c>
      <c r="C15" s="36" t="s">
        <v>132</v>
      </c>
      <c r="D15" s="36">
        <f>+B15*2.78</f>
        <v>33.36</v>
      </c>
    </row>
    <row r="16" spans="1:4" ht="12.75">
      <c r="A16" s="36" t="s">
        <v>133</v>
      </c>
      <c r="B16" s="36">
        <v>128</v>
      </c>
      <c r="C16" s="36" t="s">
        <v>134</v>
      </c>
      <c r="D16" s="36">
        <f>+B16*1.75</f>
        <v>224</v>
      </c>
    </row>
    <row r="17" spans="1:4" ht="12.75">
      <c r="A17" s="36" t="s">
        <v>135</v>
      </c>
      <c r="B17" s="36">
        <v>1</v>
      </c>
      <c r="C17" s="36" t="s">
        <v>136</v>
      </c>
      <c r="D17" s="36">
        <f>+B17*1.87</f>
        <v>1.87</v>
      </c>
    </row>
    <row r="18" spans="1:4" ht="12.75">
      <c r="A18" s="36" t="s">
        <v>137</v>
      </c>
      <c r="B18" s="36">
        <v>1</v>
      </c>
      <c r="C18" s="36" t="s">
        <v>138</v>
      </c>
      <c r="D18" s="36">
        <f>+B18*4.9</f>
        <v>4.9</v>
      </c>
    </row>
    <row r="19" spans="1:4" ht="12.75">
      <c r="A19" s="36" t="s">
        <v>139</v>
      </c>
      <c r="B19" s="36">
        <v>2</v>
      </c>
      <c r="C19" s="36" t="s">
        <v>140</v>
      </c>
      <c r="D19" s="36">
        <f>+B19*0.26</f>
        <v>0.52</v>
      </c>
    </row>
    <row r="20" spans="1:4" ht="12.75">
      <c r="A20" s="36" t="s">
        <v>141</v>
      </c>
      <c r="B20" s="36">
        <v>2</v>
      </c>
      <c r="C20" s="36" t="s">
        <v>142</v>
      </c>
      <c r="D20" s="36">
        <f>+B20*0.68</f>
        <v>1.36</v>
      </c>
    </row>
    <row r="21" spans="1:4" ht="12.75">
      <c r="A21" s="36" t="s">
        <v>143</v>
      </c>
      <c r="B21" s="36">
        <v>35</v>
      </c>
      <c r="C21" s="36" t="s">
        <v>144</v>
      </c>
      <c r="D21" s="36">
        <f>+B21*0.4</f>
        <v>14</v>
      </c>
    </row>
    <row r="22" spans="1:4" ht="12.75">
      <c r="A22" s="36" t="s">
        <v>145</v>
      </c>
      <c r="B22" s="36">
        <v>5</v>
      </c>
      <c r="C22" s="36" t="s">
        <v>146</v>
      </c>
      <c r="D22" s="36">
        <f>+B22*1.04</f>
        <v>5.2</v>
      </c>
    </row>
    <row r="23" spans="1:4" ht="12.75">
      <c r="A23" s="36" t="s">
        <v>147</v>
      </c>
      <c r="B23" s="36">
        <v>2</v>
      </c>
      <c r="C23" s="36" t="s">
        <v>148</v>
      </c>
      <c r="D23" s="36">
        <f>+B23*0.29</f>
        <v>0.58</v>
      </c>
    </row>
    <row r="24" spans="1:4" ht="12.75">
      <c r="A24" s="36" t="s">
        <v>149</v>
      </c>
      <c r="B24" s="36">
        <v>1</v>
      </c>
      <c r="C24" s="36" t="s">
        <v>150</v>
      </c>
      <c r="D24" s="36">
        <f>+B24*15.46</f>
        <v>15.46</v>
      </c>
    </row>
    <row r="25" spans="1:4" ht="12.75">
      <c r="A25" s="80"/>
      <c r="B25" s="78"/>
      <c r="C25" s="78"/>
      <c r="D25" s="76">
        <f>SUM(D5:D24)</f>
        <v>606.2700000000001</v>
      </c>
    </row>
    <row r="26" spans="1:4" ht="12.75">
      <c r="A26" s="141" t="s">
        <v>151</v>
      </c>
      <c r="B26" s="142"/>
      <c r="C26" s="142"/>
      <c r="D26" s="143"/>
    </row>
    <row r="27" spans="1:4" ht="12.75">
      <c r="A27" s="59"/>
      <c r="B27" s="59" t="s">
        <v>2</v>
      </c>
      <c r="C27" s="59" t="s">
        <v>38</v>
      </c>
      <c r="D27" s="59" t="s">
        <v>0</v>
      </c>
    </row>
    <row r="28" spans="1:4" ht="12.75">
      <c r="A28" s="36" t="s">
        <v>152</v>
      </c>
      <c r="B28" s="36">
        <v>12</v>
      </c>
      <c r="C28" s="36" t="s">
        <v>153</v>
      </c>
      <c r="D28" s="36">
        <f>+B28*7.92</f>
        <v>95.03999999999999</v>
      </c>
    </row>
    <row r="29" spans="1:4" ht="12.75">
      <c r="A29" s="36" t="s">
        <v>154</v>
      </c>
      <c r="B29" s="36">
        <v>1</v>
      </c>
      <c r="C29" s="36" t="s">
        <v>155</v>
      </c>
      <c r="D29" s="36">
        <f>+B29*2.78</f>
        <v>2.78</v>
      </c>
    </row>
    <row r="30" spans="1:7" ht="12.75">
      <c r="A30" s="36" t="s">
        <v>133</v>
      </c>
      <c r="B30" s="36">
        <v>6</v>
      </c>
      <c r="C30" s="36" t="s">
        <v>156</v>
      </c>
      <c r="D30" s="36">
        <f>+B30*1.75</f>
        <v>10.5</v>
      </c>
      <c r="F30" s="44"/>
      <c r="G30" s="44"/>
    </row>
    <row r="31" spans="1:7" ht="12.75">
      <c r="A31" s="36" t="s">
        <v>157</v>
      </c>
      <c r="B31" s="36">
        <v>8</v>
      </c>
      <c r="C31" s="36" t="s">
        <v>158</v>
      </c>
      <c r="D31" s="36">
        <f>+B31*0.22</f>
        <v>1.76</v>
      </c>
      <c r="F31" s="44"/>
      <c r="G31" s="44"/>
    </row>
    <row r="32" spans="1:7" ht="12.75">
      <c r="A32" s="36" t="s">
        <v>159</v>
      </c>
      <c r="B32" s="36">
        <v>3</v>
      </c>
      <c r="C32" s="36" t="s">
        <v>160</v>
      </c>
      <c r="D32" s="36">
        <f>+B32*0.26</f>
        <v>0.78</v>
      </c>
      <c r="F32" s="44"/>
      <c r="G32" s="44"/>
    </row>
    <row r="33" spans="1:7" ht="12.75">
      <c r="A33" s="36" t="s">
        <v>161</v>
      </c>
      <c r="B33" s="36">
        <v>2</v>
      </c>
      <c r="C33" s="36" t="s">
        <v>162</v>
      </c>
      <c r="D33" s="36">
        <f>+B33*0.44</f>
        <v>0.88</v>
      </c>
      <c r="F33" s="44"/>
      <c r="G33" s="44"/>
    </row>
    <row r="34" spans="1:7" ht="12.75">
      <c r="A34" s="36" t="s">
        <v>163</v>
      </c>
      <c r="B34" s="36">
        <v>1</v>
      </c>
      <c r="C34" s="36" t="s">
        <v>164</v>
      </c>
      <c r="D34" s="36">
        <f>+B34*0.24</f>
        <v>0.24</v>
      </c>
      <c r="F34" s="44"/>
      <c r="G34" s="44"/>
    </row>
    <row r="35" spans="1:4" ht="12.75">
      <c r="A35" s="36" t="s">
        <v>165</v>
      </c>
      <c r="B35" s="36">
        <v>9</v>
      </c>
      <c r="C35" s="36" t="s">
        <v>166</v>
      </c>
      <c r="D35" s="36">
        <f>+B35*1.09</f>
        <v>9.81</v>
      </c>
    </row>
    <row r="36" spans="1:4" ht="12.75">
      <c r="A36" s="36" t="s">
        <v>167</v>
      </c>
      <c r="B36" s="36">
        <v>9</v>
      </c>
      <c r="C36" s="36" t="s">
        <v>168</v>
      </c>
      <c r="D36" s="36">
        <f>+B36*0.74</f>
        <v>6.66</v>
      </c>
    </row>
    <row r="37" spans="1:4" ht="12.75">
      <c r="A37" s="36" t="s">
        <v>169</v>
      </c>
      <c r="B37" s="36">
        <v>1</v>
      </c>
      <c r="C37" s="36" t="s">
        <v>170</v>
      </c>
      <c r="D37" s="36">
        <f>+B37*0.29</f>
        <v>0.29</v>
      </c>
    </row>
    <row r="38" spans="1:4" ht="12.75">
      <c r="A38" s="36" t="s">
        <v>171</v>
      </c>
      <c r="B38" s="36">
        <v>1</v>
      </c>
      <c r="C38" s="36" t="s">
        <v>172</v>
      </c>
      <c r="D38" s="36">
        <f>+B38*0.33</f>
        <v>0.33</v>
      </c>
    </row>
    <row r="39" spans="1:4" ht="12.75">
      <c r="A39" s="36" t="s">
        <v>173</v>
      </c>
      <c r="B39" s="36">
        <v>1</v>
      </c>
      <c r="C39" s="36" t="s">
        <v>174</v>
      </c>
      <c r="D39" s="36">
        <f>+B39*30</f>
        <v>30</v>
      </c>
    </row>
    <row r="40" spans="1:4" ht="12.75">
      <c r="A40" s="36" t="s">
        <v>175</v>
      </c>
      <c r="B40" s="36">
        <v>1</v>
      </c>
      <c r="C40" s="36" t="s">
        <v>176</v>
      </c>
      <c r="D40" s="36">
        <f>+B40*5</f>
        <v>5</v>
      </c>
    </row>
    <row r="41" spans="1:4" ht="12.75">
      <c r="A41" s="36" t="s">
        <v>177</v>
      </c>
      <c r="B41" s="36">
        <v>1</v>
      </c>
      <c r="C41" s="36" t="s">
        <v>178</v>
      </c>
      <c r="D41" s="36">
        <f>+B41*7.75</f>
        <v>7.75</v>
      </c>
    </row>
    <row r="42" spans="1:4" ht="12.75">
      <c r="A42" s="36" t="s">
        <v>179</v>
      </c>
      <c r="B42" s="36">
        <v>1</v>
      </c>
      <c r="C42" s="36" t="s">
        <v>180</v>
      </c>
      <c r="D42" s="36">
        <f>+B42*169.92</f>
        <v>169.92</v>
      </c>
    </row>
    <row r="43" spans="1:4" ht="12.75">
      <c r="A43" s="36" t="s">
        <v>181</v>
      </c>
      <c r="B43" s="36">
        <v>1</v>
      </c>
      <c r="C43" s="36" t="s">
        <v>182</v>
      </c>
      <c r="D43" s="36">
        <f>+B43*27</f>
        <v>27</v>
      </c>
    </row>
    <row r="44" spans="1:4" ht="12.75">
      <c r="A44" s="144">
        <f>SUM(D28:D43)</f>
        <v>368.74</v>
      </c>
      <c r="B44" s="145"/>
      <c r="C44" s="145"/>
      <c r="D44" s="146"/>
    </row>
    <row r="45" spans="1:4" ht="12.75">
      <c r="A45" s="77" t="s">
        <v>279</v>
      </c>
      <c r="B45" s="78"/>
      <c r="C45" s="78"/>
      <c r="D45" s="79"/>
    </row>
    <row r="46" spans="1:6" ht="12.75">
      <c r="A46" s="144">
        <f>+D25+A44</f>
        <v>975.0100000000001</v>
      </c>
      <c r="B46" s="145"/>
      <c r="C46" s="145"/>
      <c r="D46" s="146"/>
      <c r="E46" s="58" t="s">
        <v>97</v>
      </c>
      <c r="F46" s="58">
        <f>+A46+540</f>
        <v>1515.0100000000002</v>
      </c>
    </row>
    <row r="49" ht="12.75">
      <c r="A49" s="117" t="s">
        <v>319</v>
      </c>
    </row>
  </sheetData>
  <mergeCells count="4">
    <mergeCell ref="A46:D46"/>
    <mergeCell ref="A3:D3"/>
    <mergeCell ref="A26:D26"/>
    <mergeCell ref="A44:D44"/>
  </mergeCells>
  <printOptions/>
  <pageMargins left="0.75" right="0.75" top="1" bottom="1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E21" sqref="A1:E21"/>
    </sheetView>
  </sheetViews>
  <sheetFormatPr defaultColWidth="11.421875" defaultRowHeight="12.75"/>
  <cols>
    <col min="1" max="1" width="23.28125" style="0" bestFit="1" customWidth="1"/>
    <col min="3" max="3" width="13.7109375" style="0" customWidth="1"/>
    <col min="4" max="4" width="16.421875" style="0" customWidth="1"/>
  </cols>
  <sheetData>
    <row r="1" spans="1:2" ht="12.75">
      <c r="A1" s="58" t="s">
        <v>322</v>
      </c>
      <c r="B1" s="58"/>
    </row>
    <row r="3" spans="1:4" ht="12.75">
      <c r="A3" s="59"/>
      <c r="B3" s="68" t="s">
        <v>2</v>
      </c>
      <c r="C3" s="59" t="s">
        <v>183</v>
      </c>
      <c r="D3" s="59" t="s">
        <v>0</v>
      </c>
    </row>
    <row r="4" spans="1:4" ht="12.75">
      <c r="A4" s="36" t="s">
        <v>184</v>
      </c>
      <c r="B4" s="1">
        <v>52</v>
      </c>
      <c r="C4" s="36" t="s">
        <v>185</v>
      </c>
      <c r="D4" s="36">
        <f>+B4*8.067</f>
        <v>419.48400000000004</v>
      </c>
    </row>
    <row r="5" spans="1:4" ht="12.75">
      <c r="A5" s="36" t="s">
        <v>186</v>
      </c>
      <c r="B5" s="1">
        <v>42</v>
      </c>
      <c r="C5" s="36" t="s">
        <v>62</v>
      </c>
      <c r="D5" s="36">
        <f>+B5*0.44</f>
        <v>18.48</v>
      </c>
    </row>
    <row r="6" spans="1:4" ht="12.75">
      <c r="A6" s="36" t="s">
        <v>187</v>
      </c>
      <c r="B6" s="1">
        <v>24</v>
      </c>
      <c r="C6" s="36" t="s">
        <v>188</v>
      </c>
      <c r="D6" s="36">
        <f>+B6*0.91</f>
        <v>21.84</v>
      </c>
    </row>
    <row r="7" spans="1:4" ht="12.75">
      <c r="A7" s="36" t="s">
        <v>189</v>
      </c>
      <c r="B7" s="1">
        <v>21</v>
      </c>
      <c r="C7" s="36" t="s">
        <v>190</v>
      </c>
      <c r="D7" s="36">
        <f>+B7*2.8</f>
        <v>58.8</v>
      </c>
    </row>
    <row r="8" spans="1:4" ht="12.75">
      <c r="A8" s="36" t="s">
        <v>191</v>
      </c>
      <c r="B8" s="1">
        <v>1</v>
      </c>
      <c r="C8" s="36" t="s">
        <v>192</v>
      </c>
      <c r="D8" s="36">
        <f>+B8*0.5</f>
        <v>0.5</v>
      </c>
    </row>
    <row r="9" spans="1:4" ht="12.75">
      <c r="A9" s="36" t="s">
        <v>193</v>
      </c>
      <c r="B9" s="1">
        <v>1</v>
      </c>
      <c r="C9" s="36" t="s">
        <v>194</v>
      </c>
      <c r="D9" s="36">
        <f>+B9*1.65</f>
        <v>1.65</v>
      </c>
    </row>
    <row r="10" spans="1:4" ht="12.75">
      <c r="A10" s="36" t="s">
        <v>195</v>
      </c>
      <c r="B10" s="1">
        <v>25</v>
      </c>
      <c r="C10" s="36" t="s">
        <v>196</v>
      </c>
      <c r="D10" s="36">
        <f>+B10*0.46</f>
        <v>11.5</v>
      </c>
    </row>
    <row r="11" spans="1:4" ht="12.75">
      <c r="A11" s="36" t="s">
        <v>197</v>
      </c>
      <c r="B11" s="1">
        <v>1</v>
      </c>
      <c r="C11" s="36" t="s">
        <v>198</v>
      </c>
      <c r="D11" s="36">
        <f>+B11*3.22</f>
        <v>3.22</v>
      </c>
    </row>
    <row r="12" spans="1:4" ht="12.75">
      <c r="A12" s="36" t="s">
        <v>199</v>
      </c>
      <c r="B12" s="1">
        <v>7</v>
      </c>
      <c r="C12" s="36" t="s">
        <v>200</v>
      </c>
      <c r="D12" s="36">
        <f>+B12*4.19</f>
        <v>29.330000000000002</v>
      </c>
    </row>
    <row r="13" spans="1:4" ht="12.75">
      <c r="A13" s="36" t="s">
        <v>201</v>
      </c>
      <c r="B13" s="1">
        <v>19</v>
      </c>
      <c r="C13" s="36" t="s">
        <v>202</v>
      </c>
      <c r="D13" s="36">
        <f>+B13*3.35</f>
        <v>63.65</v>
      </c>
    </row>
    <row r="14" spans="1:4" ht="12.75">
      <c r="A14" s="36" t="s">
        <v>203</v>
      </c>
      <c r="B14" s="1">
        <v>55</v>
      </c>
      <c r="C14" s="36" t="s">
        <v>204</v>
      </c>
      <c r="D14" s="36">
        <f>+B14*21.18</f>
        <v>1164.9</v>
      </c>
    </row>
    <row r="15" spans="1:4" ht="12.75">
      <c r="A15" s="37" t="s">
        <v>145</v>
      </c>
      <c r="B15" s="38">
        <v>5</v>
      </c>
      <c r="C15" s="37" t="s">
        <v>194</v>
      </c>
      <c r="D15" s="37">
        <f>+B15*1.65</f>
        <v>8.25</v>
      </c>
    </row>
    <row r="16" spans="1:4" ht="12.75">
      <c r="A16" s="60" t="s">
        <v>205</v>
      </c>
      <c r="B16" s="61"/>
      <c r="C16" s="51"/>
      <c r="D16" s="52">
        <f>SUM(D4:D15)</f>
        <v>1801.6040000000003</v>
      </c>
    </row>
    <row r="17" spans="1:4" ht="12.75">
      <c r="A17" s="62" t="s">
        <v>1</v>
      </c>
      <c r="B17" s="63"/>
      <c r="C17" s="64"/>
      <c r="D17" s="65">
        <v>360</v>
      </c>
    </row>
    <row r="18" spans="1:4" ht="12.75">
      <c r="A18" s="66" t="s">
        <v>206</v>
      </c>
      <c r="B18" s="67"/>
      <c r="C18" s="54"/>
      <c r="D18" s="55">
        <f>+D16+360</f>
        <v>2161.6040000000003</v>
      </c>
    </row>
    <row r="21" ht="12.75">
      <c r="A21" s="39" t="s">
        <v>207</v>
      </c>
    </row>
  </sheetData>
  <printOptions/>
  <pageMargins left="0.75" right="0.75" top="2.19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F23" sqref="A1:F23"/>
    </sheetView>
  </sheetViews>
  <sheetFormatPr defaultColWidth="11.421875" defaultRowHeight="12.75"/>
  <cols>
    <col min="1" max="1" width="21.140625" style="0" customWidth="1"/>
  </cols>
  <sheetData>
    <row r="1" spans="1:2" ht="12.75">
      <c r="A1" s="58" t="s">
        <v>323</v>
      </c>
      <c r="B1" s="58"/>
    </row>
    <row r="3" spans="1:4" ht="12.75">
      <c r="A3" s="72"/>
      <c r="B3" s="68" t="s">
        <v>2</v>
      </c>
      <c r="C3" s="59" t="s">
        <v>183</v>
      </c>
      <c r="D3" s="59" t="s">
        <v>0</v>
      </c>
    </row>
    <row r="4" spans="1:4" ht="25.5" customHeight="1">
      <c r="A4" s="40" t="s">
        <v>232</v>
      </c>
      <c r="B4" s="1">
        <v>620</v>
      </c>
      <c r="C4" s="36" t="s">
        <v>208</v>
      </c>
      <c r="D4" s="36">
        <f>+B4*0.14</f>
        <v>86.80000000000001</v>
      </c>
    </row>
    <row r="5" spans="1:4" ht="12.75">
      <c r="A5" s="40" t="s">
        <v>209</v>
      </c>
      <c r="B5" s="1">
        <v>2</v>
      </c>
      <c r="C5" s="36" t="s">
        <v>210</v>
      </c>
      <c r="D5" s="36">
        <f>+B5*3.87</f>
        <v>7.74</v>
      </c>
    </row>
    <row r="6" spans="1:4" ht="12.75">
      <c r="A6" s="40" t="s">
        <v>211</v>
      </c>
      <c r="B6" s="1">
        <v>1</v>
      </c>
      <c r="C6" s="36" t="s">
        <v>212</v>
      </c>
      <c r="D6" s="36">
        <f>+B6*25.47</f>
        <v>25.47</v>
      </c>
    </row>
    <row r="7" spans="1:4" ht="12.75">
      <c r="A7" s="40" t="s">
        <v>213</v>
      </c>
      <c r="B7" s="1">
        <v>1</v>
      </c>
      <c r="C7" s="36" t="s">
        <v>214</v>
      </c>
      <c r="D7" s="36">
        <f>+B7*3.6</f>
        <v>3.6</v>
      </c>
    </row>
    <row r="8" spans="1:4" ht="12.75">
      <c r="A8" s="40" t="s">
        <v>215</v>
      </c>
      <c r="B8" s="1">
        <v>9</v>
      </c>
      <c r="C8" s="36" t="s">
        <v>216</v>
      </c>
      <c r="D8" s="36">
        <f>+B8*0.66</f>
        <v>5.94</v>
      </c>
    </row>
    <row r="9" spans="1:4" ht="25.5">
      <c r="A9" s="40" t="s">
        <v>217</v>
      </c>
      <c r="B9" s="1">
        <v>1</v>
      </c>
      <c r="C9" s="36" t="s">
        <v>218</v>
      </c>
      <c r="D9" s="36">
        <f>+B9*3.32</f>
        <v>3.32</v>
      </c>
    </row>
    <row r="10" spans="1:4" ht="12.75">
      <c r="A10" s="40" t="s">
        <v>219</v>
      </c>
      <c r="B10" s="1">
        <v>10</v>
      </c>
      <c r="C10" s="36" t="s">
        <v>220</v>
      </c>
      <c r="D10" s="36">
        <f>+B10*1.7</f>
        <v>17</v>
      </c>
    </row>
    <row r="11" spans="1:4" ht="12.75">
      <c r="A11" s="40" t="s">
        <v>221</v>
      </c>
      <c r="B11" s="1">
        <v>6</v>
      </c>
      <c r="C11" s="36" t="s">
        <v>222</v>
      </c>
      <c r="D11" s="36">
        <f>+B11*1.8</f>
        <v>10.8</v>
      </c>
    </row>
    <row r="12" spans="1:4" ht="12.75">
      <c r="A12" s="40" t="s">
        <v>223</v>
      </c>
      <c r="B12" s="1">
        <v>45</v>
      </c>
      <c r="C12" s="36" t="s">
        <v>224</v>
      </c>
      <c r="D12" s="36">
        <f>+B12*1.58</f>
        <v>71.10000000000001</v>
      </c>
    </row>
    <row r="13" spans="1:4" ht="12.75">
      <c r="A13" s="40" t="s">
        <v>225</v>
      </c>
      <c r="B13" s="1">
        <v>45</v>
      </c>
      <c r="C13" s="36" t="s">
        <v>226</v>
      </c>
      <c r="D13" s="36">
        <f>+B13*3.53</f>
        <v>158.85</v>
      </c>
    </row>
    <row r="14" spans="1:4" ht="12.75">
      <c r="A14" s="40" t="s">
        <v>227</v>
      </c>
      <c r="B14" s="1">
        <v>328</v>
      </c>
      <c r="C14" s="36" t="s">
        <v>228</v>
      </c>
      <c r="D14" s="36">
        <f>+B14*0.11</f>
        <v>36.08</v>
      </c>
    </row>
    <row r="15" spans="1:4" ht="12.75">
      <c r="A15" s="40" t="s">
        <v>229</v>
      </c>
      <c r="B15" s="1">
        <v>245</v>
      </c>
      <c r="C15" s="36" t="s">
        <v>230</v>
      </c>
      <c r="D15" s="36">
        <f>+B15*0.21</f>
        <v>51.449999999999996</v>
      </c>
    </row>
    <row r="16" spans="1:4" ht="12.75">
      <c r="A16" s="69" t="s">
        <v>205</v>
      </c>
      <c r="B16" s="70"/>
      <c r="C16" s="71"/>
      <c r="D16" s="71">
        <f>SUM(D4:D15)</f>
        <v>478.15</v>
      </c>
    </row>
    <row r="17" spans="1:4" ht="48.75" customHeight="1">
      <c r="A17" s="69" t="s">
        <v>231</v>
      </c>
      <c r="B17" s="70"/>
      <c r="C17" s="71"/>
      <c r="D17" s="71">
        <v>810</v>
      </c>
    </row>
    <row r="18" spans="1:4" ht="12.75">
      <c r="A18" s="71" t="s">
        <v>1</v>
      </c>
      <c r="B18" s="70"/>
      <c r="C18" s="71"/>
      <c r="D18" s="71">
        <v>540</v>
      </c>
    </row>
    <row r="19" spans="1:4" ht="12.75">
      <c r="A19" s="71" t="s">
        <v>206</v>
      </c>
      <c r="B19" s="70"/>
      <c r="C19" s="71"/>
      <c r="D19" s="71">
        <f>+D16+810+540</f>
        <v>1828.15</v>
      </c>
    </row>
    <row r="20" spans="1:4" ht="12.75">
      <c r="A20" s="28"/>
      <c r="C20" s="28"/>
      <c r="D20" s="28"/>
    </row>
    <row r="22" ht="12.75">
      <c r="A22" t="s">
        <v>233</v>
      </c>
    </row>
  </sheetData>
  <printOptions/>
  <pageMargins left="0.75" right="0.75" top="2.84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workbookViewId="0" topLeftCell="A1">
      <selection activeCell="L10" sqref="A1:L10"/>
    </sheetView>
  </sheetViews>
  <sheetFormatPr defaultColWidth="11.421875" defaultRowHeight="12.75"/>
  <cols>
    <col min="1" max="1" width="37.00390625" style="0" customWidth="1"/>
    <col min="2" max="2" width="23.140625" style="0" customWidth="1"/>
    <col min="3" max="3" width="12.8515625" style="0" customWidth="1"/>
    <col min="4" max="4" width="13.57421875" style="0" bestFit="1" customWidth="1"/>
    <col min="5" max="5" width="14.57421875" style="0" bestFit="1" customWidth="1"/>
    <col min="6" max="6" width="14.57421875" style="0" customWidth="1"/>
    <col min="7" max="7" width="9.140625" style="0" customWidth="1"/>
    <col min="8" max="8" width="15.421875" style="0" customWidth="1"/>
    <col min="9" max="9" width="13.140625" style="0" customWidth="1"/>
    <col min="10" max="10" width="14.57421875" style="0" customWidth="1"/>
    <col min="11" max="11" width="21.140625" style="0" customWidth="1"/>
    <col min="12" max="12" width="15.140625" style="0" customWidth="1"/>
    <col min="13" max="13" width="13.57421875" style="0" bestFit="1" customWidth="1"/>
    <col min="15" max="15" width="17.00390625" style="0" customWidth="1"/>
  </cols>
  <sheetData>
    <row r="1" ht="28.5" customHeight="1">
      <c r="A1" s="58" t="s">
        <v>324</v>
      </c>
    </row>
    <row r="2" spans="8:9" ht="12.75">
      <c r="H2">
        <f>+(6*30*4)</f>
        <v>720</v>
      </c>
      <c r="I2">
        <f>+(2*10*6)</f>
        <v>120</v>
      </c>
    </row>
    <row r="3" spans="1:12" ht="12.75">
      <c r="A3" s="86" t="s">
        <v>293</v>
      </c>
      <c r="B3" s="86" t="s">
        <v>19</v>
      </c>
      <c r="C3" s="108" t="s">
        <v>294</v>
      </c>
      <c r="D3" s="86" t="s">
        <v>295</v>
      </c>
      <c r="E3" s="86" t="s">
        <v>296</v>
      </c>
      <c r="F3" s="108" t="s">
        <v>297</v>
      </c>
      <c r="G3" s="86" t="s">
        <v>298</v>
      </c>
      <c r="H3" s="86" t="s">
        <v>299</v>
      </c>
      <c r="I3" s="109" t="s">
        <v>300</v>
      </c>
      <c r="J3" s="86" t="s">
        <v>301</v>
      </c>
      <c r="K3" s="86" t="s">
        <v>302</v>
      </c>
      <c r="L3" s="86" t="s">
        <v>303</v>
      </c>
    </row>
    <row r="4" spans="1:14" ht="12.75">
      <c r="A4" s="1" t="s">
        <v>304</v>
      </c>
      <c r="B4" s="89">
        <v>4</v>
      </c>
      <c r="C4" s="83">
        <v>68000</v>
      </c>
      <c r="D4" s="110">
        <f>10115/3.95</f>
        <v>2560.759493670886</v>
      </c>
      <c r="E4" s="110">
        <f>+D4*B4</f>
        <v>10243.037974683544</v>
      </c>
      <c r="F4" s="83">
        <v>6.5</v>
      </c>
      <c r="G4" s="83" t="s">
        <v>305</v>
      </c>
      <c r="H4" s="1">
        <f>+(H2*F4)*B4</f>
        <v>18720</v>
      </c>
      <c r="I4" s="1">
        <f>+(I2*F4)*B4</f>
        <v>3120</v>
      </c>
      <c r="J4" s="1">
        <f>+I4+H4</f>
        <v>21840</v>
      </c>
      <c r="K4" s="113">
        <v>0.75</v>
      </c>
      <c r="L4" s="113">
        <f>+K4*J4</f>
        <v>16380</v>
      </c>
      <c r="M4" s="115"/>
      <c r="N4" s="115"/>
    </row>
    <row r="5" spans="1:14" ht="12.75">
      <c r="A5" s="1" t="s">
        <v>306</v>
      </c>
      <c r="B5" s="89">
        <v>2</v>
      </c>
      <c r="C5" s="83" t="s">
        <v>307</v>
      </c>
      <c r="D5" s="110">
        <f>984/3.95</f>
        <v>249.1139240506329</v>
      </c>
      <c r="E5" s="110">
        <f>+D5*B5</f>
        <v>498.2278481012658</v>
      </c>
      <c r="F5" s="83" t="s">
        <v>307</v>
      </c>
      <c r="G5" s="1"/>
      <c r="H5" s="1"/>
      <c r="I5" s="1"/>
      <c r="J5" s="1"/>
      <c r="K5" s="90"/>
      <c r="L5" s="90"/>
      <c r="M5" s="115"/>
      <c r="N5" s="115"/>
    </row>
    <row r="6" spans="1:14" ht="12.75">
      <c r="A6" s="1" t="s">
        <v>308</v>
      </c>
      <c r="B6" s="89">
        <v>2</v>
      </c>
      <c r="C6" s="83" t="s">
        <v>309</v>
      </c>
      <c r="D6" s="111">
        <v>10</v>
      </c>
      <c r="E6" s="111">
        <f>+D6*B6</f>
        <v>20</v>
      </c>
      <c r="F6" s="83" t="s">
        <v>307</v>
      </c>
      <c r="G6" s="83"/>
      <c r="H6" s="1"/>
      <c r="I6" s="1"/>
      <c r="J6" s="1"/>
      <c r="K6" s="90"/>
      <c r="L6" s="90"/>
      <c r="M6" s="115"/>
      <c r="N6" s="115"/>
    </row>
    <row r="7" spans="1:14" ht="12.75">
      <c r="A7" s="1" t="s">
        <v>310</v>
      </c>
      <c r="B7" s="89">
        <v>640</v>
      </c>
      <c r="C7" s="83" t="s">
        <v>311</v>
      </c>
      <c r="D7" s="111">
        <v>0.35</v>
      </c>
      <c r="E7" s="111">
        <f>+D7*B7</f>
        <v>224</v>
      </c>
      <c r="F7" s="1"/>
      <c r="G7" s="1"/>
      <c r="H7" s="1"/>
      <c r="I7" s="1"/>
      <c r="J7" s="1"/>
      <c r="K7" s="90"/>
      <c r="L7" s="90"/>
      <c r="M7" s="115"/>
      <c r="N7" s="115"/>
    </row>
    <row r="8" spans="4:12" ht="12.75">
      <c r="D8" s="91" t="s">
        <v>312</v>
      </c>
      <c r="E8" s="112">
        <f>SUM(E4:E7)</f>
        <v>10985.26582278481</v>
      </c>
      <c r="K8" s="92" t="s">
        <v>313</v>
      </c>
      <c r="L8" s="114">
        <f>SUM(L4:L7)</f>
        <v>16380</v>
      </c>
    </row>
    <row r="9" spans="1:12" ht="12.75">
      <c r="A9" s="28" t="s">
        <v>314</v>
      </c>
      <c r="B9" t="s">
        <v>315</v>
      </c>
      <c r="D9" s="93"/>
      <c r="E9" s="94"/>
      <c r="K9" s="2" t="s">
        <v>316</v>
      </c>
      <c r="L9" s="114">
        <f>+L8/12</f>
        <v>1365</v>
      </c>
    </row>
    <row r="10" spans="1:12" ht="12.75">
      <c r="A10" s="95"/>
      <c r="B10" s="96"/>
      <c r="C10" s="96"/>
      <c r="D10" s="95"/>
      <c r="E10" s="95"/>
      <c r="F10" s="97"/>
      <c r="G10" s="98"/>
      <c r="H10" s="97"/>
      <c r="I10" s="97"/>
      <c r="J10" s="99"/>
      <c r="K10" s="99"/>
      <c r="L10" s="97"/>
    </row>
    <row r="11" spans="1:12" ht="12.75">
      <c r="A11" s="95"/>
      <c r="B11" s="96"/>
      <c r="C11" s="96"/>
      <c r="D11" s="96"/>
      <c r="E11" s="96"/>
      <c r="F11" s="97"/>
      <c r="G11" s="100"/>
      <c r="H11" s="97"/>
      <c r="I11" s="97"/>
      <c r="J11" s="99"/>
      <c r="K11" s="99"/>
      <c r="L11" s="97"/>
    </row>
    <row r="12" spans="1:13" ht="12.75">
      <c r="A12" s="96"/>
      <c r="B12" s="95"/>
      <c r="C12" s="96"/>
      <c r="D12" s="96"/>
      <c r="E12" s="95"/>
      <c r="F12" s="95"/>
      <c r="G12" s="97"/>
      <c r="H12" s="100"/>
      <c r="I12" s="97"/>
      <c r="J12" s="97"/>
      <c r="K12" s="99"/>
      <c r="L12" s="99"/>
      <c r="M12" s="97"/>
    </row>
    <row r="13" spans="1:13" ht="12.75">
      <c r="A13" s="97"/>
      <c r="B13" s="97"/>
      <c r="C13" s="97"/>
      <c r="D13" s="97"/>
      <c r="E13" s="97"/>
      <c r="F13" s="97"/>
      <c r="G13" s="97"/>
      <c r="H13" s="100"/>
      <c r="I13" s="97"/>
      <c r="J13" s="97"/>
      <c r="K13" s="99"/>
      <c r="L13" s="99"/>
      <c r="M13" s="97"/>
    </row>
    <row r="14" spans="1:13" ht="12.7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5" ht="12.75">
      <c r="A15" s="39"/>
      <c r="O15" s="115"/>
    </row>
    <row r="16" ht="12.75">
      <c r="A16" s="39"/>
    </row>
    <row r="28" ht="12.75">
      <c r="O28" s="101"/>
    </row>
    <row r="35" spans="2:7" ht="12.75">
      <c r="B35" s="102"/>
      <c r="C35" s="102"/>
      <c r="D35" s="102"/>
      <c r="E35" s="102"/>
      <c r="F35" s="102"/>
      <c r="G35" s="102"/>
    </row>
    <row r="36" spans="2:7" ht="12.75">
      <c r="B36" s="103"/>
      <c r="C36" s="102"/>
      <c r="D36" s="104"/>
      <c r="E36" s="105"/>
      <c r="F36" s="106"/>
      <c r="G36" s="102"/>
    </row>
    <row r="38" ht="12.75">
      <c r="E38" s="107"/>
    </row>
    <row r="39" ht="12.75">
      <c r="E39" s="107"/>
    </row>
    <row r="40" ht="12.75">
      <c r="E40" s="107"/>
    </row>
  </sheetData>
  <printOptions/>
  <pageMargins left="0.75" right="0.75" top="3.56" bottom="1" header="0" footer="0"/>
  <pageSetup fitToHeight="1" fitToWidth="1" horizontalDpi="300" verticalDpi="300" orientation="landscape" paperSize="9" scale="6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E24" sqref="A1:E24"/>
    </sheetView>
  </sheetViews>
  <sheetFormatPr defaultColWidth="11.421875" defaultRowHeight="12.75"/>
  <cols>
    <col min="1" max="1" width="26.7109375" style="0" bestFit="1" customWidth="1"/>
    <col min="3" max="3" width="17.421875" style="0" bestFit="1" customWidth="1"/>
    <col min="4" max="4" width="10.28125" style="0" bestFit="1" customWidth="1"/>
  </cols>
  <sheetData>
    <row r="1" spans="1:3" ht="12.75">
      <c r="A1" s="58" t="s">
        <v>325</v>
      </c>
      <c r="B1" s="118"/>
      <c r="C1" s="118"/>
    </row>
    <row r="3" spans="1:5" ht="12.75">
      <c r="A3" s="59"/>
      <c r="B3" s="68" t="s">
        <v>2</v>
      </c>
      <c r="C3" s="59" t="s">
        <v>234</v>
      </c>
      <c r="D3" s="59" t="s">
        <v>183</v>
      </c>
      <c r="E3" s="68" t="s">
        <v>0</v>
      </c>
    </row>
    <row r="4" spans="1:5" ht="12.75">
      <c r="A4" s="36" t="s">
        <v>267</v>
      </c>
      <c r="B4" s="1">
        <v>54</v>
      </c>
      <c r="C4" s="36" t="s">
        <v>235</v>
      </c>
      <c r="D4" s="36" t="s">
        <v>13</v>
      </c>
      <c r="E4" s="1">
        <f>+B4*3.24</f>
        <v>174.96</v>
      </c>
    </row>
    <row r="5" spans="1:5" ht="12.75">
      <c r="A5" s="36" t="s">
        <v>236</v>
      </c>
      <c r="B5" s="1">
        <v>8</v>
      </c>
      <c r="C5" s="36" t="s">
        <v>237</v>
      </c>
      <c r="D5" s="36" t="s">
        <v>238</v>
      </c>
      <c r="E5" s="1">
        <f>+B5*3.24</f>
        <v>25.92</v>
      </c>
    </row>
    <row r="6" spans="1:5" ht="12.75">
      <c r="A6" s="36" t="s">
        <v>36</v>
      </c>
      <c r="B6" s="1">
        <v>8</v>
      </c>
      <c r="C6" s="36" t="s">
        <v>235</v>
      </c>
      <c r="D6" s="36" t="s">
        <v>238</v>
      </c>
      <c r="E6" s="1">
        <f>+B6*3.24</f>
        <v>25.92</v>
      </c>
    </row>
    <row r="7" spans="1:5" ht="12.75">
      <c r="A7" s="36" t="s">
        <v>239</v>
      </c>
      <c r="B7" s="1">
        <v>3</v>
      </c>
      <c r="C7" s="36" t="s">
        <v>240</v>
      </c>
      <c r="D7" s="36" t="s">
        <v>241</v>
      </c>
      <c r="E7" s="1">
        <f>+B7*10.8</f>
        <v>32.400000000000006</v>
      </c>
    </row>
    <row r="8" spans="1:5" ht="12.75">
      <c r="A8" s="36" t="s">
        <v>242</v>
      </c>
      <c r="B8" s="1">
        <v>6</v>
      </c>
      <c r="C8" s="36" t="s">
        <v>243</v>
      </c>
      <c r="D8" s="36" t="s">
        <v>244</v>
      </c>
      <c r="E8" s="1">
        <f>+B8*14.76</f>
        <v>88.56</v>
      </c>
    </row>
    <row r="9" spans="1:5" ht="12.75">
      <c r="A9" s="36" t="s">
        <v>245</v>
      </c>
      <c r="B9" s="1">
        <v>9</v>
      </c>
      <c r="C9" s="36" t="s">
        <v>246</v>
      </c>
      <c r="D9" s="36" t="s">
        <v>247</v>
      </c>
      <c r="E9" s="1">
        <f>+B9*14.04</f>
        <v>126.35999999999999</v>
      </c>
    </row>
    <row r="10" spans="1:5" ht="12.75">
      <c r="A10" s="36" t="s">
        <v>248</v>
      </c>
      <c r="B10" s="36">
        <v>26</v>
      </c>
      <c r="C10" s="36" t="s">
        <v>249</v>
      </c>
      <c r="D10" s="36" t="s">
        <v>250</v>
      </c>
      <c r="E10" s="1">
        <f>+B10*11.34</f>
        <v>294.84</v>
      </c>
    </row>
    <row r="11" spans="1:5" ht="12.75">
      <c r="A11" s="36" t="s">
        <v>21</v>
      </c>
      <c r="B11" s="36">
        <v>5</v>
      </c>
      <c r="C11" s="36" t="s">
        <v>251</v>
      </c>
      <c r="D11" s="36" t="s">
        <v>252</v>
      </c>
      <c r="E11" s="1">
        <f>+B11*5.4</f>
        <v>27</v>
      </c>
    </row>
    <row r="12" spans="1:5" ht="12.75">
      <c r="A12" s="36" t="s">
        <v>253</v>
      </c>
      <c r="B12" s="36">
        <v>20</v>
      </c>
      <c r="C12" s="36" t="s">
        <v>254</v>
      </c>
      <c r="D12" s="36" t="s">
        <v>255</v>
      </c>
      <c r="E12" s="1">
        <f>+B12*7.65</f>
        <v>153</v>
      </c>
    </row>
    <row r="13" spans="1:5" ht="12.75">
      <c r="A13" s="36" t="s">
        <v>256</v>
      </c>
      <c r="B13" s="36">
        <v>1</v>
      </c>
      <c r="C13" s="36" t="s">
        <v>257</v>
      </c>
      <c r="D13" s="36" t="s">
        <v>258</v>
      </c>
      <c r="E13" s="1">
        <f>+B13*21.19</f>
        <v>21.19</v>
      </c>
    </row>
    <row r="14" spans="1:5" ht="12.75">
      <c r="A14" s="36" t="s">
        <v>259</v>
      </c>
      <c r="B14" s="36">
        <v>4</v>
      </c>
      <c r="C14" s="36" t="s">
        <v>260</v>
      </c>
      <c r="D14" s="36" t="s">
        <v>198</v>
      </c>
      <c r="E14" s="1">
        <f>+B14*3.22</f>
        <v>12.88</v>
      </c>
    </row>
    <row r="15" spans="1:5" ht="12.75">
      <c r="A15" s="36" t="s">
        <v>261</v>
      </c>
      <c r="B15" s="36">
        <v>1</v>
      </c>
      <c r="C15" s="36"/>
      <c r="D15" s="36" t="s">
        <v>262</v>
      </c>
      <c r="E15" s="1">
        <f>+B15*28.76</f>
        <v>28.76</v>
      </c>
    </row>
    <row r="16" spans="1:5" ht="12.75">
      <c r="A16" s="36" t="s">
        <v>263</v>
      </c>
      <c r="B16" s="36">
        <v>1</v>
      </c>
      <c r="C16" s="36"/>
      <c r="D16" s="36" t="s">
        <v>264</v>
      </c>
      <c r="E16" s="1">
        <f>+B16*14.38</f>
        <v>14.38</v>
      </c>
    </row>
    <row r="17" spans="1:5" ht="12.75">
      <c r="A17" s="37" t="s">
        <v>265</v>
      </c>
      <c r="B17" s="37">
        <v>2</v>
      </c>
      <c r="C17" s="37"/>
      <c r="D17" s="37" t="s">
        <v>266</v>
      </c>
      <c r="E17" s="38">
        <f>+B17*2.44</f>
        <v>4.88</v>
      </c>
    </row>
    <row r="18" spans="1:5" ht="12.75">
      <c r="A18" s="60" t="s">
        <v>205</v>
      </c>
      <c r="B18" s="51"/>
      <c r="C18" s="51"/>
      <c r="D18" s="51"/>
      <c r="E18" s="73">
        <f>SUM(E4:E17)</f>
        <v>1031.0500000000002</v>
      </c>
    </row>
    <row r="19" spans="1:5" ht="12.75">
      <c r="A19" s="62" t="s">
        <v>1</v>
      </c>
      <c r="B19" s="64"/>
      <c r="C19" s="64"/>
      <c r="D19" s="64"/>
      <c r="E19" s="75">
        <v>540</v>
      </c>
    </row>
    <row r="20" spans="1:5" ht="12.75">
      <c r="A20" s="66" t="s">
        <v>206</v>
      </c>
      <c r="B20" s="54"/>
      <c r="C20" s="54"/>
      <c r="D20" s="54"/>
      <c r="E20" s="74">
        <f>+E18+540</f>
        <v>1571.0500000000002</v>
      </c>
    </row>
    <row r="23" ht="12.75">
      <c r="A23" s="39" t="s">
        <v>268</v>
      </c>
    </row>
  </sheetData>
  <printOptions/>
  <pageMargins left="0.75" right="0.75" top="2.87" bottom="1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F15" sqref="A1:F15"/>
    </sheetView>
  </sheetViews>
  <sheetFormatPr defaultColWidth="11.421875" defaultRowHeight="12.75"/>
  <cols>
    <col min="1" max="1" width="20.28125" style="0" bestFit="1" customWidth="1"/>
    <col min="3" max="3" width="13.57421875" style="0" bestFit="1" customWidth="1"/>
  </cols>
  <sheetData>
    <row r="1" spans="1:2" ht="12.75">
      <c r="A1" s="58" t="s">
        <v>326</v>
      </c>
      <c r="B1" s="58"/>
    </row>
    <row r="3" spans="1:5" ht="12.75">
      <c r="A3" s="59"/>
      <c r="B3" s="68" t="s">
        <v>2</v>
      </c>
      <c r="C3" s="59" t="s">
        <v>234</v>
      </c>
      <c r="D3" s="59" t="s">
        <v>183</v>
      </c>
      <c r="E3" s="68" t="s">
        <v>0</v>
      </c>
    </row>
    <row r="4" spans="1:5" ht="12.75">
      <c r="A4" s="36" t="s">
        <v>21</v>
      </c>
      <c r="B4" s="36">
        <v>1</v>
      </c>
      <c r="C4" s="36" t="s">
        <v>3</v>
      </c>
      <c r="D4" s="36" t="s">
        <v>252</v>
      </c>
      <c r="E4" s="36">
        <f>+B4*5.4</f>
        <v>5.4</v>
      </c>
    </row>
    <row r="5" spans="1:5" ht="12.75">
      <c r="A5" s="36" t="s">
        <v>269</v>
      </c>
      <c r="B5" s="36">
        <v>4</v>
      </c>
      <c r="C5" s="36" t="s">
        <v>270</v>
      </c>
      <c r="D5" s="36" t="s">
        <v>271</v>
      </c>
      <c r="E5" s="36">
        <f>+B5*7.63</f>
        <v>30.52</v>
      </c>
    </row>
    <row r="6" spans="1:5" ht="12.75">
      <c r="A6" s="36" t="s">
        <v>272</v>
      </c>
      <c r="B6" s="36">
        <v>5</v>
      </c>
      <c r="C6" s="36" t="s">
        <v>257</v>
      </c>
      <c r="D6" s="36" t="s">
        <v>273</v>
      </c>
      <c r="E6" s="36">
        <f>+B6*11.07</f>
        <v>55.35</v>
      </c>
    </row>
    <row r="7" spans="1:5" ht="12.75">
      <c r="A7" s="36" t="s">
        <v>274</v>
      </c>
      <c r="B7" s="36">
        <v>3</v>
      </c>
      <c r="C7" s="36" t="s">
        <v>257</v>
      </c>
      <c r="D7" s="36" t="s">
        <v>200</v>
      </c>
      <c r="E7" s="36">
        <f>+B7*4.19</f>
        <v>12.57</v>
      </c>
    </row>
    <row r="8" spans="1:5" ht="12.75">
      <c r="A8" s="37" t="s">
        <v>275</v>
      </c>
      <c r="B8" s="37">
        <v>1</v>
      </c>
      <c r="C8" s="37" t="s">
        <v>276</v>
      </c>
      <c r="D8" s="37" t="s">
        <v>277</v>
      </c>
      <c r="E8" s="37">
        <f>+B8*305.96</f>
        <v>305.96</v>
      </c>
    </row>
    <row r="9" spans="1:5" ht="12.75">
      <c r="A9" s="60" t="s">
        <v>205</v>
      </c>
      <c r="B9" s="51"/>
      <c r="C9" s="51"/>
      <c r="D9" s="51"/>
      <c r="E9" s="52">
        <f>SUM(E4:E8)</f>
        <v>409.79999999999995</v>
      </c>
    </row>
    <row r="10" spans="1:5" ht="12.75">
      <c r="A10" s="62" t="s">
        <v>1</v>
      </c>
      <c r="B10" s="64"/>
      <c r="C10" s="64"/>
      <c r="D10" s="64"/>
      <c r="E10" s="65">
        <v>180</v>
      </c>
    </row>
    <row r="11" spans="1:5" ht="12.75">
      <c r="A11" s="66" t="s">
        <v>206</v>
      </c>
      <c r="B11" s="54"/>
      <c r="C11" s="54"/>
      <c r="D11" s="54"/>
      <c r="E11" s="55">
        <f>+E9+180</f>
        <v>589.8</v>
      </c>
    </row>
    <row r="14" ht="12.75">
      <c r="A14" s="39" t="s">
        <v>278</v>
      </c>
    </row>
  </sheetData>
  <printOptions/>
  <pageMargins left="0.75" right="0.75" top="2.31" bottom="1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2" sqref="K32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2010-11-30T17:13:38Z</cp:lastPrinted>
  <dcterms:created xsi:type="dcterms:W3CDTF">2010-07-26T13:43:38Z</dcterms:created>
  <dcterms:modified xsi:type="dcterms:W3CDTF">2010-11-30T17:14:10Z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